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EJECUCION PRESUPUESTAL 2021-2025\EJECUCION PRESUPUESTAL 2026\"/>
    </mc:Choice>
  </mc:AlternateContent>
  <bookViews>
    <workbookView xWindow="-120" yWindow="-120" windowWidth="24240" windowHeight="13140"/>
  </bookViews>
  <sheets>
    <sheet name="FEBRERO 2026" sheetId="1" r:id="rId1"/>
  </sheets>
  <externalReferences>
    <externalReference r:id="rId2"/>
  </externalReferences>
  <definedNames>
    <definedName name="_xlnm.Print_Area" localSheetId="0">'FEBRERO 2026'!$A$5:$K$183</definedName>
    <definedName name="_xlnm.Print_Titles" localSheetId="0">'FEBRERO 2026'!$5:$11</definedName>
  </definedNames>
  <calcPr calcId="162913"/>
</workbook>
</file>

<file path=xl/calcChain.xml><?xml version="1.0" encoding="utf-8"?>
<calcChain xmlns="http://schemas.openxmlformats.org/spreadsheetml/2006/main">
  <c r="K156" i="1" l="1"/>
  <c r="L156" i="1" s="1"/>
  <c r="L155" i="1"/>
  <c r="K155" i="1"/>
  <c r="I155" i="1"/>
  <c r="I153" i="1" s="1"/>
  <c r="L154" i="1"/>
  <c r="L153" i="1" s="1"/>
  <c r="K154" i="1"/>
  <c r="I154" i="1"/>
  <c r="K153" i="1"/>
  <c r="J153" i="1"/>
  <c r="H153" i="1"/>
  <c r="G153" i="1"/>
  <c r="L152" i="1"/>
  <c r="J151" i="1"/>
  <c r="K151" i="1" s="1"/>
  <c r="L151" i="1" s="1"/>
  <c r="I151" i="1"/>
  <c r="H151" i="1"/>
  <c r="K150" i="1"/>
  <c r="L150" i="1" s="1"/>
  <c r="L149" i="1" s="1"/>
  <c r="I150" i="1"/>
  <c r="J149" i="1"/>
  <c r="I149" i="1"/>
  <c r="G149" i="1"/>
  <c r="K148" i="1"/>
  <c r="L147" i="1"/>
  <c r="K147" i="1"/>
  <c r="I147" i="1"/>
  <c r="K146" i="1"/>
  <c r="L146" i="1" s="1"/>
  <c r="I146" i="1"/>
  <c r="K145" i="1"/>
  <c r="L145" i="1" s="1"/>
  <c r="I145" i="1"/>
  <c r="L144" i="1"/>
  <c r="K144" i="1"/>
  <c r="I144" i="1"/>
  <c r="L143" i="1"/>
  <c r="K143" i="1"/>
  <c r="I143" i="1"/>
  <c r="K142" i="1"/>
  <c r="K141" i="1" s="1"/>
  <c r="I142" i="1"/>
  <c r="I141" i="1" s="1"/>
  <c r="I140" i="1" s="1"/>
  <c r="H142" i="1"/>
  <c r="G142" i="1"/>
  <c r="L142" i="1" s="1"/>
  <c r="J141" i="1"/>
  <c r="H141" i="1"/>
  <c r="H140" i="1" s="1"/>
  <c r="G141" i="1"/>
  <c r="G140" i="1" s="1"/>
  <c r="J140" i="1"/>
  <c r="K139" i="1"/>
  <c r="L138" i="1"/>
  <c r="K138" i="1"/>
  <c r="L137" i="1"/>
  <c r="K137" i="1"/>
  <c r="J137" i="1"/>
  <c r="I137" i="1"/>
  <c r="L136" i="1"/>
  <c r="K136" i="1"/>
  <c r="I136" i="1"/>
  <c r="J135" i="1"/>
  <c r="I135" i="1"/>
  <c r="H135" i="1"/>
  <c r="K135" i="1" s="1"/>
  <c r="K134" i="1"/>
  <c r="J134" i="1"/>
  <c r="H134" i="1"/>
  <c r="I134" i="1" s="1"/>
  <c r="L133" i="1"/>
  <c r="K133" i="1"/>
  <c r="J132" i="1"/>
  <c r="G132" i="1"/>
  <c r="L130" i="1"/>
  <c r="K130" i="1"/>
  <c r="I130" i="1"/>
  <c r="L129" i="1"/>
  <c r="L128" i="1" s="1"/>
  <c r="K129" i="1"/>
  <c r="K128" i="1" s="1"/>
  <c r="J129" i="1"/>
  <c r="I129" i="1"/>
  <c r="H129" i="1"/>
  <c r="H128" i="1" s="1"/>
  <c r="G129" i="1"/>
  <c r="G128" i="1" s="1"/>
  <c r="J128" i="1"/>
  <c r="I128" i="1"/>
  <c r="L126" i="1"/>
  <c r="K126" i="1"/>
  <c r="I126" i="1"/>
  <c r="K125" i="1"/>
  <c r="K122" i="1" s="1"/>
  <c r="I125" i="1"/>
  <c r="K124" i="1"/>
  <c r="L124" i="1" s="1"/>
  <c r="I124" i="1"/>
  <c r="I122" i="1" s="1"/>
  <c r="L123" i="1"/>
  <c r="K123" i="1"/>
  <c r="I123" i="1"/>
  <c r="J122" i="1"/>
  <c r="H122" i="1"/>
  <c r="G122" i="1"/>
  <c r="K120" i="1"/>
  <c r="L120" i="1" s="1"/>
  <c r="L119" i="1" s="1"/>
  <c r="K119" i="1"/>
  <c r="J119" i="1"/>
  <c r="I119" i="1"/>
  <c r="H119" i="1"/>
  <c r="G119" i="1"/>
  <c r="L118" i="1"/>
  <c r="K117" i="1"/>
  <c r="L117" i="1" s="1"/>
  <c r="K116" i="1"/>
  <c r="G116" i="1"/>
  <c r="L116" i="1" s="1"/>
  <c r="L115" i="1" s="1"/>
  <c r="J115" i="1"/>
  <c r="H115" i="1"/>
  <c r="J114" i="1"/>
  <c r="J112" i="1"/>
  <c r="I112" i="1"/>
  <c r="I110" i="1" s="1"/>
  <c r="H112" i="1"/>
  <c r="K112" i="1" s="1"/>
  <c r="J110" i="1"/>
  <c r="G110" i="1"/>
  <c r="J108" i="1"/>
  <c r="I108" i="1"/>
  <c r="H108" i="1"/>
  <c r="K108" i="1" s="1"/>
  <c r="K107" i="1"/>
  <c r="I107" i="1"/>
  <c r="K106" i="1"/>
  <c r="L106" i="1" s="1"/>
  <c r="I106" i="1"/>
  <c r="L105" i="1"/>
  <c r="K105" i="1"/>
  <c r="I105" i="1"/>
  <c r="I103" i="1" s="1"/>
  <c r="L104" i="1"/>
  <c r="K104" i="1"/>
  <c r="I104" i="1"/>
  <c r="J103" i="1"/>
  <c r="G103" i="1"/>
  <c r="L102" i="1"/>
  <c r="K102" i="1"/>
  <c r="K101" i="1"/>
  <c r="L101" i="1" s="1"/>
  <c r="J101" i="1"/>
  <c r="J98" i="1" s="1"/>
  <c r="I101" i="1"/>
  <c r="K100" i="1"/>
  <c r="L100" i="1" s="1"/>
  <c r="I100" i="1"/>
  <c r="H100" i="1"/>
  <c r="J99" i="1"/>
  <c r="H99" i="1"/>
  <c r="K99" i="1" s="1"/>
  <c r="G98" i="1"/>
  <c r="K96" i="1"/>
  <c r="L96" i="1" s="1"/>
  <c r="I96" i="1"/>
  <c r="J95" i="1"/>
  <c r="J94" i="1" s="1"/>
  <c r="I95" i="1"/>
  <c r="H95" i="1"/>
  <c r="K95" i="1" s="1"/>
  <c r="G94" i="1"/>
  <c r="J92" i="1"/>
  <c r="I92" i="1"/>
  <c r="H92" i="1"/>
  <c r="K92" i="1" s="1"/>
  <c r="L92" i="1" s="1"/>
  <c r="K91" i="1"/>
  <c r="L91" i="1" s="1"/>
  <c r="I91" i="1"/>
  <c r="I90" i="1"/>
  <c r="J90" i="1" s="1"/>
  <c r="H90" i="1"/>
  <c r="K89" i="1"/>
  <c r="L89" i="1" s="1"/>
  <c r="I89" i="1"/>
  <c r="I86" i="1" s="1"/>
  <c r="L88" i="1"/>
  <c r="K88" i="1"/>
  <c r="I88" i="1"/>
  <c r="H87" i="1"/>
  <c r="G87" i="1"/>
  <c r="G86" i="1" s="1"/>
  <c r="L84" i="1"/>
  <c r="L82" i="1" s="1"/>
  <c r="K84" i="1"/>
  <c r="J84" i="1"/>
  <c r="I84" i="1"/>
  <c r="L83" i="1"/>
  <c r="K83" i="1"/>
  <c r="J83" i="1"/>
  <c r="K82" i="1"/>
  <c r="J82" i="1"/>
  <c r="I82" i="1"/>
  <c r="H82" i="1"/>
  <c r="G82" i="1"/>
  <c r="L80" i="1"/>
  <c r="K80" i="1"/>
  <c r="I80" i="1"/>
  <c r="L79" i="1"/>
  <c r="K79" i="1"/>
  <c r="I79" i="1"/>
  <c r="K78" i="1"/>
  <c r="L78" i="1" s="1"/>
  <c r="L77" i="1" s="1"/>
  <c r="L74" i="1" s="1"/>
  <c r="I78" i="1"/>
  <c r="J77" i="1"/>
  <c r="J74" i="1" s="1"/>
  <c r="I77" i="1"/>
  <c r="H77" i="1"/>
  <c r="G77" i="1"/>
  <c r="J75" i="1"/>
  <c r="H75" i="1"/>
  <c r="K75" i="1" s="1"/>
  <c r="L75" i="1" s="1"/>
  <c r="G74" i="1"/>
  <c r="K72" i="1"/>
  <c r="L72" i="1" s="1"/>
  <c r="J71" i="1"/>
  <c r="M71" i="1" s="1"/>
  <c r="I71" i="1"/>
  <c r="I70" i="1" s="1"/>
  <c r="H71" i="1"/>
  <c r="K71" i="1" s="1"/>
  <c r="H70" i="1"/>
  <c r="G70" i="1"/>
  <c r="L68" i="1"/>
  <c r="K68" i="1"/>
  <c r="I68" i="1"/>
  <c r="L67" i="1"/>
  <c r="K67" i="1"/>
  <c r="H67" i="1"/>
  <c r="I67" i="1" s="1"/>
  <c r="I66" i="1" s="1"/>
  <c r="L66" i="1"/>
  <c r="K66" i="1"/>
  <c r="J66" i="1"/>
  <c r="H66" i="1"/>
  <c r="G66" i="1"/>
  <c r="J64" i="1"/>
  <c r="K64" i="1" s="1"/>
  <c r="L64" i="1" s="1"/>
  <c r="I64" i="1"/>
  <c r="I63" i="1"/>
  <c r="I62" i="1" s="1"/>
  <c r="H63" i="1"/>
  <c r="H62" i="1" s="1"/>
  <c r="J62" i="1"/>
  <c r="G62" i="1"/>
  <c r="L60" i="1"/>
  <c r="L59" i="1" s="1"/>
  <c r="K60" i="1"/>
  <c r="I60" i="1"/>
  <c r="K59" i="1"/>
  <c r="J59" i="1"/>
  <c r="I59" i="1"/>
  <c r="H59" i="1"/>
  <c r="G59" i="1"/>
  <c r="G54" i="1" s="1"/>
  <c r="J57" i="1"/>
  <c r="I57" i="1"/>
  <c r="H57" i="1"/>
  <c r="K57" i="1" s="1"/>
  <c r="L57" i="1" s="1"/>
  <c r="K56" i="1"/>
  <c r="L56" i="1" s="1"/>
  <c r="I56" i="1"/>
  <c r="J55" i="1"/>
  <c r="I55" i="1"/>
  <c r="I54" i="1" s="1"/>
  <c r="H55" i="1"/>
  <c r="K55" i="1" s="1"/>
  <c r="J54" i="1"/>
  <c r="K51" i="1"/>
  <c r="L51" i="1" s="1"/>
  <c r="I51" i="1"/>
  <c r="I48" i="1" s="1"/>
  <c r="L50" i="1"/>
  <c r="K50" i="1"/>
  <c r="I50" i="1"/>
  <c r="L49" i="1"/>
  <c r="K49" i="1"/>
  <c r="I49" i="1"/>
  <c r="K48" i="1"/>
  <c r="J48" i="1"/>
  <c r="H48" i="1"/>
  <c r="G48" i="1"/>
  <c r="I47" i="1"/>
  <c r="J46" i="1"/>
  <c r="I46" i="1"/>
  <c r="H46" i="1"/>
  <c r="K46" i="1" s="1"/>
  <c r="L46" i="1" s="1"/>
  <c r="H45" i="1"/>
  <c r="I45" i="1" s="1"/>
  <c r="H44" i="1"/>
  <c r="G44" i="1"/>
  <c r="K42" i="1"/>
  <c r="L41" i="1"/>
  <c r="K41" i="1"/>
  <c r="I41" i="1"/>
  <c r="L40" i="1"/>
  <c r="L39" i="1" s="1"/>
  <c r="K40" i="1"/>
  <c r="I40" i="1"/>
  <c r="K39" i="1"/>
  <c r="J39" i="1"/>
  <c r="J33" i="1" s="1"/>
  <c r="J32" i="1" s="1"/>
  <c r="I39" i="1"/>
  <c r="H39" i="1"/>
  <c r="G39" i="1"/>
  <c r="G33" i="1" s="1"/>
  <c r="G32" i="1" s="1"/>
  <c r="L37" i="1"/>
  <c r="K37" i="1"/>
  <c r="I37" i="1"/>
  <c r="L36" i="1"/>
  <c r="K36" i="1"/>
  <c r="I36" i="1"/>
  <c r="K35" i="1"/>
  <c r="K33" i="1" s="1"/>
  <c r="K32" i="1" s="1"/>
  <c r="I35" i="1"/>
  <c r="I33" i="1" s="1"/>
  <c r="I32" i="1" s="1"/>
  <c r="K34" i="1"/>
  <c r="L34" i="1" s="1"/>
  <c r="H33" i="1"/>
  <c r="H32" i="1" s="1"/>
  <c r="K30" i="1"/>
  <c r="L29" i="1"/>
  <c r="K29" i="1"/>
  <c r="I29" i="1"/>
  <c r="L28" i="1"/>
  <c r="K28" i="1"/>
  <c r="I28" i="1"/>
  <c r="K27" i="1"/>
  <c r="I27" i="1"/>
  <c r="J26" i="1"/>
  <c r="I26" i="1"/>
  <c r="H26" i="1"/>
  <c r="G26" i="1"/>
  <c r="L24" i="1"/>
  <c r="L23" i="1" s="1"/>
  <c r="K24" i="1"/>
  <c r="I24" i="1"/>
  <c r="K23" i="1"/>
  <c r="J23" i="1"/>
  <c r="I23" i="1"/>
  <c r="H23" i="1"/>
  <c r="G23" i="1"/>
  <c r="L21" i="1"/>
  <c r="K21" i="1"/>
  <c r="I21" i="1"/>
  <c r="K20" i="1"/>
  <c r="L19" i="1"/>
  <c r="L18" i="1" s="1"/>
  <c r="K19" i="1"/>
  <c r="I19" i="1"/>
  <c r="K18" i="1"/>
  <c r="J18" i="1"/>
  <c r="I18" i="1"/>
  <c r="H18" i="1"/>
  <c r="G18" i="1"/>
  <c r="J16" i="1"/>
  <c r="J15" i="1" s="1"/>
  <c r="J14" i="1" s="1"/>
  <c r="I16" i="1"/>
  <c r="I15" i="1" s="1"/>
  <c r="H16" i="1"/>
  <c r="G16" i="1"/>
  <c r="H15" i="1"/>
  <c r="H14" i="1" s="1"/>
  <c r="G15" i="1"/>
  <c r="G14" i="1" s="1"/>
  <c r="G13" i="1" s="1"/>
  <c r="I14" i="1"/>
  <c r="H13" i="1"/>
  <c r="A5" i="1"/>
  <c r="J13" i="1" l="1"/>
  <c r="J87" i="1"/>
  <c r="J86" i="1"/>
  <c r="J53" i="1"/>
  <c r="L71" i="1"/>
  <c r="L70" i="1" s="1"/>
  <c r="K70" i="1"/>
  <c r="K98" i="1"/>
  <c r="L99" i="1"/>
  <c r="L98" i="1" s="1"/>
  <c r="K16" i="1"/>
  <c r="K15" i="1" s="1"/>
  <c r="L55" i="1"/>
  <c r="L54" i="1" s="1"/>
  <c r="K54" i="1"/>
  <c r="G53" i="1"/>
  <c r="L141" i="1"/>
  <c r="L140" i="1" s="1"/>
  <c r="J45" i="1"/>
  <c r="I44" i="1"/>
  <c r="I43" i="1" s="1"/>
  <c r="L112" i="1"/>
  <c r="L110" i="1" s="1"/>
  <c r="K110" i="1"/>
  <c r="I13" i="1"/>
  <c r="L27" i="1"/>
  <c r="L26" i="1" s="1"/>
  <c r="K26" i="1"/>
  <c r="L48" i="1"/>
  <c r="K90" i="1"/>
  <c r="L95" i="1"/>
  <c r="L103" i="1"/>
  <c r="L108" i="1"/>
  <c r="K103" i="1"/>
  <c r="K94" i="1" s="1"/>
  <c r="J158" i="1"/>
  <c r="L135" i="1"/>
  <c r="L132" i="1" s="1"/>
  <c r="K132" i="1"/>
  <c r="K114" i="1" s="1"/>
  <c r="L35" i="1"/>
  <c r="L33" i="1" s="1"/>
  <c r="L32" i="1" s="1"/>
  <c r="K63" i="1"/>
  <c r="I75" i="1"/>
  <c r="I74" i="1" s="1"/>
  <c r="I53" i="1" s="1"/>
  <c r="K77" i="1"/>
  <c r="K74" i="1" s="1"/>
  <c r="I87" i="1"/>
  <c r="I99" i="1"/>
  <c r="I98" i="1" s="1"/>
  <c r="I94" i="1" s="1"/>
  <c r="H103" i="1"/>
  <c r="L107" i="1"/>
  <c r="I116" i="1"/>
  <c r="I115" i="1" s="1"/>
  <c r="L125" i="1"/>
  <c r="L122" i="1" s="1"/>
  <c r="L114" i="1" s="1"/>
  <c r="H132" i="1"/>
  <c r="H114" i="1" s="1"/>
  <c r="L134" i="1"/>
  <c r="K149" i="1"/>
  <c r="K140" i="1" s="1"/>
  <c r="H54" i="1"/>
  <c r="H86" i="1"/>
  <c r="H110" i="1"/>
  <c r="I133" i="1"/>
  <c r="I132" i="1" s="1"/>
  <c r="J70" i="1"/>
  <c r="H74" i="1"/>
  <c r="H98" i="1"/>
  <c r="G115" i="1"/>
  <c r="G114" i="1" s="1"/>
  <c r="G158" i="1" s="1"/>
  <c r="H53" i="1" l="1"/>
  <c r="H158" i="1" s="1"/>
  <c r="L63" i="1"/>
  <c r="L62" i="1" s="1"/>
  <c r="K62" i="1"/>
  <c r="K53" i="1"/>
  <c r="K158" i="1" s="1"/>
  <c r="J44" i="1"/>
  <c r="K45" i="1"/>
  <c r="K14" i="1"/>
  <c r="K13" i="1" s="1"/>
  <c r="I114" i="1"/>
  <c r="I158" i="1" s="1"/>
  <c r="L94" i="1"/>
  <c r="H94" i="1"/>
  <c r="L90" i="1"/>
  <c r="K87" i="1"/>
  <c r="K86" i="1"/>
  <c r="L16" i="1"/>
  <c r="L15" i="1" s="1"/>
  <c r="L14" i="1" s="1"/>
  <c r="L87" i="1" l="1"/>
  <c r="L86" i="1"/>
  <c r="L53" i="1" s="1"/>
  <c r="L13" i="1"/>
  <c r="K44" i="1"/>
  <c r="L45" i="1"/>
  <c r="L44" i="1" s="1"/>
  <c r="L43" i="1" s="1"/>
  <c r="L158" i="1" l="1"/>
</calcChain>
</file>

<file path=xl/sharedStrings.xml><?xml version="1.0" encoding="utf-8"?>
<sst xmlns="http://schemas.openxmlformats.org/spreadsheetml/2006/main" count="148" uniqueCount="136">
  <si>
    <t>(Valores en RD$)</t>
  </si>
  <si>
    <t>Clasificación Presupuestaria</t>
  </si>
  <si>
    <t xml:space="preserve">Presupuesto </t>
  </si>
  <si>
    <t>Presupuesto por ejecutar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</si>
  <si>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</si>
  <si>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</si>
  <si>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</si>
  <si>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</si>
  <si>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</si>
  <si>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</si>
  <si>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</si>
  <si>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</si>
  <si>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</si>
  <si>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</si>
  <si>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</si>
  <si>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</si>
  <si>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</si>
  <si>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</si>
  <si>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</si>
  <si>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</si>
  <si>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</si>
  <si>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</si>
  <si>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</si>
  <si>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</si>
  <si>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</si>
  <si>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</si>
  <si>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</si>
  <si>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</si>
  <si>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</si>
  <si>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</si>
  <si>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</si>
  <si>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</si>
  <si>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</si>
  <si>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</si>
  <si>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</si>
  <si>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</si>
  <si>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</si>
  <si>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</si>
  <si>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</si>
  <si>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</si>
  <si>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</si>
  <si>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</si>
  <si>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</si>
  <si>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</si>
  <si>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</si>
  <si>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</si>
  <si>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</si>
  <si>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</si>
  <si>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</si>
  <si>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</si>
  <si>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</si>
  <si>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</si>
  <si>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</si>
  <si>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</si>
  <si>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</si>
  <si>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</si>
  <si>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</si>
  <si>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</si>
  <si>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</si>
  <si>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</si>
  <si>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</si>
  <si>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</si>
  <si>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</si>
  <si>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</si>
  <si>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</si>
  <si>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</si>
  <si>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</si>
  <si>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</si>
  <si>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</si>
  <si>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</si>
  <si>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</si>
  <si>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</si>
  <si>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</si>
  <si>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</si>
  <si>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</si>
  <si>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</si>
  <si>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</si>
  <si>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</si>
  <si>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</si>
  <si>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</si>
  <si>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</si>
  <si>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</si>
  <si>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</si>
  <si>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</si>
  <si>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</si>
  <si>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</si>
  <si>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</si>
  <si>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</si>
  <si>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</si>
  <si>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</si>
  <si>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</si>
  <si>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</si>
  <si>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</si>
  <si>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</si>
  <si>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</si>
  <si>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</si>
  <si>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</si>
  <si>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</si>
  <si>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</si>
  <si>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</si>
  <si>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</si>
  <si>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</si>
  <si>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</si>
  <si>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</si>
  <si>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</si>
  <si>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</si>
  <si>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</si>
  <si>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</si>
  <si>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</si>
  <si>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</si>
  <si>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</si>
  <si>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</si>
  <si>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</si>
  <si>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</si>
  <si>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</si>
  <si>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</si>
  <si>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</si>
  <si>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</si>
  <si>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</si>
  <si>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</si>
  <si>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</si>
  <si>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</si>
  <si>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</si>
  <si>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</si>
  <si>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Otros gastos Institucionales</t>
  </si>
  <si>
    <t>Compensación por Desempeño</t>
  </si>
  <si>
    <t>Prestaciones y Bonificaciones</t>
  </si>
  <si>
    <t>Bonos Escolar</t>
  </si>
  <si>
    <t>Vacaciones</t>
  </si>
  <si>
    <t>Jóse Ventura</t>
  </si>
  <si>
    <t>Presupuesto Ene-Dic.2026</t>
  </si>
  <si>
    <t>Ejecut. Enero,  2026</t>
  </si>
  <si>
    <t>Objeto</t>
  </si>
  <si>
    <t xml:space="preserve"> Ejecucion Presupuestal al 28 de Febrero 2026</t>
  </si>
  <si>
    <t>Ejecut. Febrero,  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</si>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</sst>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64" fontId="5" fillId="2" borderId="8" xfId="1" applyNumberFormat="1" applyFont="1" applyFill="1" applyBorder="1"/>
    <xf numFmtId="164" fontId="4" fillId="2" borderId="8" xfId="1" applyNumberFormat="1" applyFont="1" applyFill="1" applyBorder="1"/>
    <xf numFmtId="164" fontId="6" fillId="2" borderId="8" xfId="1" applyNumberFormat="1" applyFont="1" applyFill="1" applyBorder="1"/>
    <xf numFmtId="164" fontId="6" fillId="2" borderId="10" xfId="1" applyNumberFormat="1" applyFont="1" applyFill="1" applyBorder="1"/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3" fillId="0" borderId="1" xfId="0" applyFont="1" applyBorder="1" applyAlignment="1">
      <alignment horizontal="left"/>
    </xf>
    <xf numFmtId="0" fontId="13" fillId="0" borderId="4" xfId="0" applyFont="1" applyBorder="1"/>
    <xf numFmtId="1" fontId="13" fillId="2" borderId="4" xfId="0" applyNumberFormat="1" applyFont="1" applyFill="1" applyBorder="1"/>
    <xf numFmtId="0" fontId="13" fillId="0" borderId="5" xfId="0" applyFont="1" applyBorder="1" applyAlignment="1">
      <alignment horizontal="center" wrapText="1"/>
    </xf>
    <xf numFmtId="1" fontId="13" fillId="2" borderId="5" xfId="0" applyNumberFormat="1" applyFont="1" applyFill="1" applyBorder="1" applyAlignment="1">
      <alignment horizontal="center" wrapText="1"/>
    </xf>
    <xf numFmtId="0" fontId="14" fillId="0" borderId="5" xfId="0" applyFont="1" applyBorder="1"/>
    <xf numFmtId="0" fontId="13" fillId="0" borderId="3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3" fillId="0" borderId="9" xfId="0" applyFont="1" applyBorder="1" applyAlignment="1">
      <alignment horizontal="center"/>
    </xf>
    <xf numFmtId="41" fontId="13" fillId="0" borderId="9" xfId="0" applyNumberFormat="1" applyFont="1" applyBorder="1" applyAlignment="1">
      <alignment horizontal="center"/>
    </xf>
    <xf numFmtId="1" fontId="13" fillId="2" borderId="9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41" fontId="13" fillId="0" borderId="6" xfId="0" applyNumberFormat="1" applyFont="1" applyBorder="1"/>
    <xf numFmtId="164" fontId="13" fillId="2" borderId="7" xfId="1" applyNumberFormat="1" applyFont="1" applyFill="1" applyBorder="1"/>
    <xf numFmtId="41" fontId="15" fillId="0" borderId="5" xfId="0" applyNumberFormat="1" applyFont="1" applyBorder="1"/>
    <xf numFmtId="164" fontId="15" fillId="2" borderId="5" xfId="1" applyNumberFormat="1" applyFont="1" applyFill="1" applyBorder="1"/>
    <xf numFmtId="41" fontId="13" fillId="0" borderId="9" xfId="0" applyNumberFormat="1" applyFont="1" applyBorder="1"/>
    <xf numFmtId="164" fontId="13" fillId="2" borderId="9" xfId="1" applyNumberFormat="1" applyFont="1" applyFill="1" applyBorder="1"/>
    <xf numFmtId="164" fontId="12" fillId="2" borderId="7" xfId="1" applyNumberFormat="1" applyFont="1" applyFill="1" applyBorder="1"/>
    <xf numFmtId="164" fontId="13" fillId="2" borderId="6" xfId="1" applyNumberFormat="1" applyFont="1" applyFill="1" applyBorder="1"/>
    <xf numFmtId="41" fontId="15" fillId="0" borderId="9" xfId="0" applyNumberFormat="1" applyFont="1" applyBorder="1"/>
    <xf numFmtId="41" fontId="15" fillId="0" borderId="7" xfId="0" applyNumberFormat="1" applyFont="1" applyBorder="1"/>
    <xf numFmtId="164" fontId="15" fillId="2" borderId="9" xfId="1" applyNumberFormat="1" applyFont="1" applyFill="1" applyBorder="1"/>
    <xf numFmtId="164" fontId="15" fillId="2" borderId="7" xfId="1" applyNumberFormat="1" applyFont="1" applyFill="1" applyBorder="1"/>
    <xf numFmtId="41" fontId="15" fillId="0" borderId="6" xfId="0" applyNumberFormat="1" applyFont="1" applyBorder="1"/>
    <xf numFmtId="41" fontId="13" fillId="0" borderId="5" xfId="0" applyNumberFormat="1" applyFont="1" applyBorder="1"/>
    <xf numFmtId="164" fontId="13" fillId="2" borderId="5" xfId="1" applyNumberFormat="1" applyFont="1" applyFill="1" applyBorder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4" fontId="15" fillId="2" borderId="6" xfId="1" applyNumberFormat="1" applyFont="1" applyFill="1" applyBorder="1"/>
    <xf numFmtId="164" fontId="13" fillId="2" borderId="12" xfId="1" applyNumberFormat="1" applyFont="1" applyFill="1" applyBorder="1"/>
    <xf numFmtId="0" fontId="15" fillId="0" borderId="7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41" fontId="15" fillId="2" borderId="6" xfId="0" applyNumberFormat="1" applyFont="1" applyFill="1" applyBorder="1"/>
    <xf numFmtId="41" fontId="15" fillId="2" borderId="7" xfId="0" applyNumberFormat="1" applyFont="1" applyFill="1" applyBorder="1"/>
    <xf numFmtId="41" fontId="13" fillId="0" borderId="7" xfId="0" applyNumberFormat="1" applyFont="1" applyBorder="1"/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2" xfId="0" applyNumberFormat="1" applyFont="1" applyBorder="1"/>
    <xf numFmtId="164" fontId="12" fillId="2" borderId="5" xfId="1" applyNumberFormat="1" applyFont="1" applyFill="1" applyBorder="1"/>
    <xf numFmtId="0" fontId="13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3" xfId="0" applyFont="1" applyBorder="1"/>
    <xf numFmtId="0" fontId="12" fillId="0" borderId="6" xfId="0" applyFont="1" applyBorder="1" applyAlignment="1">
      <alignment horizontal="center"/>
    </xf>
    <xf numFmtId="0" fontId="12" fillId="0" borderId="11" xfId="0" applyFont="1" applyBorder="1"/>
    <xf numFmtId="0" fontId="12" fillId="0" borderId="6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/>
    <xf numFmtId="0" fontId="16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6" fillId="0" borderId="15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1" fontId="18" fillId="0" borderId="0" xfId="0" applyNumberFormat="1" applyFont="1" applyAlignment="1">
      <alignment horizontal="center"/>
    </xf>
    <xf numFmtId="0" fontId="16" fillId="0" borderId="14" xfId="0" applyFont="1" applyBorder="1" applyAlignment="1">
      <alignment horizontal="center"/>
    </xf>
    <xf numFmtId="43" fontId="16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3" fontId="10" fillId="2" borderId="0" xfId="1" applyFont="1" applyFill="1"/>
    <xf numFmtId="41" fontId="13" fillId="2" borderId="6" xfId="0" applyNumberFormat="1" applyFont="1" applyFill="1" applyBorder="1"/>
    <xf numFmtId="41" fontId="13" fillId="2" borderId="5" xfId="0" applyNumberFormat="1" applyFont="1" applyFill="1" applyBorder="1"/>
    <xf numFmtId="41" fontId="13" fillId="2" borderId="7" xfId="0" applyNumberFormat="1" applyFont="1" applyFill="1" applyBorder="1"/>
    <xf numFmtId="41" fontId="13" fillId="2" borderId="9" xfId="0" applyNumberFormat="1" applyFont="1" applyFill="1" applyBorder="1"/>
    <xf numFmtId="41" fontId="15" fillId="2" borderId="5" xfId="0" applyNumberFormat="1" applyFont="1" applyFill="1" applyBorder="1"/>
    <xf numFmtId="164" fontId="13" fillId="2" borderId="17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wrapText="1"/>
    </xf>
    <xf numFmtId="41" fontId="13" fillId="0" borderId="0" xfId="0" applyNumberFormat="1" applyFont="1" applyBorder="1"/>
    <xf numFmtId="41" fontId="12" fillId="2" borderId="7" xfId="0" applyNumberFormat="1" applyFont="1" applyFill="1" applyBorder="1"/>
    <xf numFmtId="41" fontId="15" fillId="2" borderId="9" xfId="0" applyNumberFormat="1" applyFont="1" applyFill="1" applyBorder="1"/>
    <xf numFmtId="0" fontId="12" fillId="0" borderId="0" xfId="0" applyFont="1" applyBorder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13" fillId="0" borderId="0" xfId="0" applyFont="1" applyBorder="1" applyAlignment="1">
      <alignment horizontal="center"/>
    </xf>
    <xf numFmtId="1" fontId="13" fillId="2" borderId="0" xfId="0" applyNumberFormat="1" applyFont="1" applyFill="1" applyBorder="1" applyAlignment="1">
      <alignment horizontal="center"/>
    </xf>
    <xf numFmtId="0" fontId="13" fillId="0" borderId="18" xfId="0" applyFont="1" applyBorder="1" applyAlignment="1">
      <alignment horizontal="center" wrapText="1"/>
    </xf>
    <xf numFmtId="0" fontId="13" fillId="0" borderId="13" xfId="0" applyFont="1" applyBorder="1" applyAlignment="1">
      <alignment horizontal="left" wrapText="1"/>
    </xf>
    <xf numFmtId="0" fontId="12" fillId="0" borderId="13" xfId="0" applyFont="1" applyBorder="1" applyAlignment="1">
      <alignment wrapText="1"/>
    </xf>
    <xf numFmtId="0" fontId="12" fillId="2" borderId="13" xfId="0" applyFont="1" applyFill="1" applyBorder="1" applyAlignment="1">
      <alignment wrapText="1"/>
    </xf>
    <xf numFmtId="0" fontId="15" fillId="2" borderId="13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41" fontId="13" fillId="2" borderId="17" xfId="0" applyNumberFormat="1" applyFont="1" applyFill="1" applyBorder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" fontId="13" fillId="2" borderId="3" xfId="0" applyNumberFormat="1" applyFont="1" applyFill="1" applyBorder="1" applyAlignment="1">
      <alignment horizontal="center" wrapText="1"/>
    </xf>
    <xf numFmtId="43" fontId="12" fillId="2" borderId="7" xfId="1" applyFont="1" applyFill="1" applyBorder="1"/>
    <xf numFmtId="164" fontId="12" fillId="2" borderId="8" xfId="1" applyNumberFormat="1" applyFont="1" applyFill="1" applyBorder="1"/>
    <xf numFmtId="43" fontId="15" fillId="2" borderId="8" xfId="1" applyNumberFormat="1" applyFont="1" applyFill="1" applyBorder="1"/>
    <xf numFmtId="164" fontId="15" fillId="2" borderId="8" xfId="1" applyNumberFormat="1" applyFont="1" applyFill="1" applyBorder="1"/>
    <xf numFmtId="43" fontId="15" fillId="2" borderId="9" xfId="1" applyFont="1" applyFill="1" applyBorder="1"/>
    <xf numFmtId="43" fontId="15" fillId="2" borderId="10" xfId="1" applyNumberFormat="1" applyFont="1" applyFill="1" applyBorder="1"/>
    <xf numFmtId="43" fontId="15" fillId="2" borderId="7" xfId="1" applyFont="1" applyFill="1" applyBorder="1"/>
    <xf numFmtId="43" fontId="13" fillId="2" borderId="7" xfId="1" applyFont="1" applyFill="1" applyBorder="1"/>
    <xf numFmtId="164" fontId="13" fillId="2" borderId="8" xfId="1" applyNumberFormat="1" applyFont="1" applyFill="1" applyBorder="1"/>
    <xf numFmtId="43" fontId="2" fillId="0" borderId="0" xfId="1" applyFont="1"/>
    <xf numFmtId="43" fontId="15" fillId="2" borderId="9" xfId="1" applyNumberFormat="1" applyFont="1" applyFill="1" applyBorder="1"/>
    <xf numFmtId="43" fontId="15" fillId="2" borderId="7" xfId="1" applyNumberFormat="1" applyFont="1" applyFill="1" applyBorder="1"/>
    <xf numFmtId="164" fontId="15" fillId="2" borderId="10" xfId="1" applyNumberFormat="1" applyFont="1" applyFill="1" applyBorder="1"/>
    <xf numFmtId="164" fontId="13" fillId="2" borderId="11" xfId="1" applyNumberFormat="1" applyFont="1" applyFill="1" applyBorder="1"/>
    <xf numFmtId="43" fontId="13" fillId="2" borderId="9" xfId="1" applyFont="1" applyFill="1" applyBorder="1"/>
    <xf numFmtId="43" fontId="0" fillId="2" borderId="0" xfId="1" applyFont="1" applyFill="1"/>
    <xf numFmtId="43" fontId="15" fillId="2" borderId="6" xfId="1" applyFont="1" applyFill="1" applyBorder="1"/>
    <xf numFmtId="43" fontId="12" fillId="2" borderId="5" xfId="1" applyFont="1" applyFill="1" applyBorder="1"/>
    <xf numFmtId="43" fontId="13" fillId="2" borderId="5" xfId="1" applyFont="1" applyFill="1" applyBorder="1"/>
    <xf numFmtId="43" fontId="13" fillId="2" borderId="6" xfId="1" applyFont="1" applyFill="1" applyBorder="1"/>
    <xf numFmtId="43" fontId="7" fillId="0" borderId="0" xfId="1" applyFont="1"/>
    <xf numFmtId="43" fontId="8" fillId="0" borderId="0" xfId="1" applyFont="1"/>
    <xf numFmtId="43" fontId="13" fillId="0" borderId="6" xfId="1" applyFont="1" applyBorder="1"/>
    <xf numFmtId="43" fontId="13" fillId="2" borderId="12" xfId="1" applyFont="1" applyFill="1" applyBorder="1"/>
    <xf numFmtId="41" fontId="0" fillId="0" borderId="0" xfId="0" applyNumberForma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8"/>
  <sheetViews>
    <sheetView tabSelected="1" topLeftCell="A157" workbookViewId="0">
      <selection activeCell="A5" sqref="A5:K183"/>
    </sheetView>
  </sheetViews>
  <sheetFormatPr baseColWidth="10" defaultColWidth="11.42578125" defaultRowHeight="15" x14ac:dyDescent="0.25"/>
  <cols>
    <col min="1" max="1" width="8.28515625" customWidth="1"/>
    <col min="2" max="2" width="8" customWidth="1"/>
    <col min="3" max="3" width="6.85546875" customWidth="1"/>
    <col min="4" max="5" width="6" customWidth="1"/>
    <col min="6" max="6" width="37.7109375" customWidth="1"/>
    <col min="7" max="7" width="19.5703125" customWidth="1"/>
    <col min="8" max="8" width="19" style="12" customWidth="1"/>
    <col min="9" max="9" width="16.140625" hidden="1" customWidth="1"/>
    <col min="10" max="10" width="19.28515625" customWidth="1"/>
    <col min="11" max="11" width="18" customWidth="1"/>
    <col min="12" max="12" width="18" hidden="1" customWidth="1"/>
    <col min="13" max="13" width="28.140625" customWidth="1"/>
    <col min="214" max="214" width="4.85546875" bestFit="1" customWidth="1"/>
    <col min="215" max="215" width="5.85546875" bestFit="1" customWidth="1"/>
    <col min="216" max="216" width="7.42578125" bestFit="1" customWidth="1"/>
    <col min="217" max="217" width="8.140625" bestFit="1" customWidth="1"/>
    <col min="218" max="218" width="4.5703125" bestFit="1" customWidth="1"/>
    <col min="219" max="219" width="57.5703125" customWidth="1"/>
    <col min="220" max="220" width="14.28515625" customWidth="1"/>
    <col min="221" max="221" width="0.85546875" customWidth="1"/>
    <col min="222" max="222" width="16.5703125" bestFit="1" customWidth="1"/>
    <col min="223" max="223" width="13.42578125" bestFit="1" customWidth="1"/>
    <col min="470" max="470" width="4.85546875" bestFit="1" customWidth="1"/>
    <col min="471" max="471" width="5.85546875" bestFit="1" customWidth="1"/>
    <col min="472" max="472" width="7.42578125" bestFit="1" customWidth="1"/>
    <col min="473" max="473" width="8.140625" bestFit="1" customWidth="1"/>
    <col min="474" max="474" width="4.5703125" bestFit="1" customWidth="1"/>
    <col min="475" max="475" width="57.5703125" customWidth="1"/>
    <col min="476" max="476" width="14.28515625" customWidth="1"/>
    <col min="477" max="477" width="0.85546875" customWidth="1"/>
    <col min="478" max="478" width="16.5703125" bestFit="1" customWidth="1"/>
    <col min="479" max="479" width="13.42578125" bestFit="1" customWidth="1"/>
    <col min="726" max="726" width="4.85546875" bestFit="1" customWidth="1"/>
    <col min="727" max="727" width="5.85546875" bestFit="1" customWidth="1"/>
    <col min="728" max="728" width="7.42578125" bestFit="1" customWidth="1"/>
    <col min="729" max="729" width="8.140625" bestFit="1" customWidth="1"/>
    <col min="730" max="730" width="4.5703125" bestFit="1" customWidth="1"/>
    <col min="731" max="731" width="57.5703125" customWidth="1"/>
    <col min="732" max="732" width="14.28515625" customWidth="1"/>
    <col min="733" max="733" width="0.85546875" customWidth="1"/>
    <col min="734" max="734" width="16.5703125" bestFit="1" customWidth="1"/>
    <col min="735" max="735" width="13.42578125" bestFit="1" customWidth="1"/>
    <col min="982" max="982" width="4.85546875" bestFit="1" customWidth="1"/>
    <col min="983" max="983" width="5.85546875" bestFit="1" customWidth="1"/>
    <col min="984" max="984" width="7.42578125" bestFit="1" customWidth="1"/>
    <col min="985" max="985" width="8.140625" bestFit="1" customWidth="1"/>
    <col min="986" max="986" width="4.5703125" bestFit="1" customWidth="1"/>
    <col min="987" max="987" width="57.5703125" customWidth="1"/>
    <col min="988" max="988" width="14.28515625" customWidth="1"/>
    <col min="989" max="989" width="0.85546875" customWidth="1"/>
    <col min="990" max="990" width="16.5703125" bestFit="1" customWidth="1"/>
    <col min="991" max="991" width="13.42578125" bestFit="1" customWidth="1"/>
    <col min="1238" max="1238" width="4.85546875" bestFit="1" customWidth="1"/>
    <col min="1239" max="1239" width="5.85546875" bestFit="1" customWidth="1"/>
    <col min="1240" max="1240" width="7.42578125" bestFit="1" customWidth="1"/>
    <col min="1241" max="1241" width="8.140625" bestFit="1" customWidth="1"/>
    <col min="1242" max="1242" width="4.5703125" bestFit="1" customWidth="1"/>
    <col min="1243" max="1243" width="57.5703125" customWidth="1"/>
    <col min="1244" max="1244" width="14.28515625" customWidth="1"/>
    <col min="1245" max="1245" width="0.85546875" customWidth="1"/>
    <col min="1246" max="1246" width="16.5703125" bestFit="1" customWidth="1"/>
    <col min="1247" max="1247" width="13.42578125" bestFit="1" customWidth="1"/>
    <col min="1494" max="1494" width="4.85546875" bestFit="1" customWidth="1"/>
    <col min="1495" max="1495" width="5.85546875" bestFit="1" customWidth="1"/>
    <col min="1496" max="1496" width="7.42578125" bestFit="1" customWidth="1"/>
    <col min="1497" max="1497" width="8.140625" bestFit="1" customWidth="1"/>
    <col min="1498" max="1498" width="4.5703125" bestFit="1" customWidth="1"/>
    <col min="1499" max="1499" width="57.5703125" customWidth="1"/>
    <col min="1500" max="1500" width="14.28515625" customWidth="1"/>
    <col min="1501" max="1501" width="0.85546875" customWidth="1"/>
    <col min="1502" max="1502" width="16.5703125" bestFit="1" customWidth="1"/>
    <col min="1503" max="1503" width="13.42578125" bestFit="1" customWidth="1"/>
    <col min="1750" max="1750" width="4.85546875" bestFit="1" customWidth="1"/>
    <col min="1751" max="1751" width="5.85546875" bestFit="1" customWidth="1"/>
    <col min="1752" max="1752" width="7.42578125" bestFit="1" customWidth="1"/>
    <col min="1753" max="1753" width="8.140625" bestFit="1" customWidth="1"/>
    <col min="1754" max="1754" width="4.5703125" bestFit="1" customWidth="1"/>
    <col min="1755" max="1755" width="57.5703125" customWidth="1"/>
    <col min="1756" max="1756" width="14.28515625" customWidth="1"/>
    <col min="1757" max="1757" width="0.85546875" customWidth="1"/>
    <col min="1758" max="1758" width="16.5703125" bestFit="1" customWidth="1"/>
    <col min="1759" max="1759" width="13.42578125" bestFit="1" customWidth="1"/>
    <col min="2006" max="2006" width="4.85546875" bestFit="1" customWidth="1"/>
    <col min="2007" max="2007" width="5.85546875" bestFit="1" customWidth="1"/>
    <col min="2008" max="2008" width="7.42578125" bestFit="1" customWidth="1"/>
    <col min="2009" max="2009" width="8.140625" bestFit="1" customWidth="1"/>
    <col min="2010" max="2010" width="4.5703125" bestFit="1" customWidth="1"/>
    <col min="2011" max="2011" width="57.5703125" customWidth="1"/>
    <col min="2012" max="2012" width="14.28515625" customWidth="1"/>
    <col min="2013" max="2013" width="0.85546875" customWidth="1"/>
    <col min="2014" max="2014" width="16.5703125" bestFit="1" customWidth="1"/>
    <col min="2015" max="2015" width="13.42578125" bestFit="1" customWidth="1"/>
    <col min="2262" max="2262" width="4.85546875" bestFit="1" customWidth="1"/>
    <col min="2263" max="2263" width="5.85546875" bestFit="1" customWidth="1"/>
    <col min="2264" max="2264" width="7.42578125" bestFit="1" customWidth="1"/>
    <col min="2265" max="2265" width="8.140625" bestFit="1" customWidth="1"/>
    <col min="2266" max="2266" width="4.5703125" bestFit="1" customWidth="1"/>
    <col min="2267" max="2267" width="57.5703125" customWidth="1"/>
    <col min="2268" max="2268" width="14.28515625" customWidth="1"/>
    <col min="2269" max="2269" width="0.85546875" customWidth="1"/>
    <col min="2270" max="2270" width="16.5703125" bestFit="1" customWidth="1"/>
    <col min="2271" max="2271" width="13.42578125" bestFit="1" customWidth="1"/>
    <col min="2518" max="2518" width="4.85546875" bestFit="1" customWidth="1"/>
    <col min="2519" max="2519" width="5.85546875" bestFit="1" customWidth="1"/>
    <col min="2520" max="2520" width="7.42578125" bestFit="1" customWidth="1"/>
    <col min="2521" max="2521" width="8.140625" bestFit="1" customWidth="1"/>
    <col min="2522" max="2522" width="4.5703125" bestFit="1" customWidth="1"/>
    <col min="2523" max="2523" width="57.5703125" customWidth="1"/>
    <col min="2524" max="2524" width="14.28515625" customWidth="1"/>
    <col min="2525" max="2525" width="0.85546875" customWidth="1"/>
    <col min="2526" max="2526" width="16.5703125" bestFit="1" customWidth="1"/>
    <col min="2527" max="2527" width="13.42578125" bestFit="1" customWidth="1"/>
    <col min="2774" max="2774" width="4.85546875" bestFit="1" customWidth="1"/>
    <col min="2775" max="2775" width="5.85546875" bestFit="1" customWidth="1"/>
    <col min="2776" max="2776" width="7.42578125" bestFit="1" customWidth="1"/>
    <col min="2777" max="2777" width="8.140625" bestFit="1" customWidth="1"/>
    <col min="2778" max="2778" width="4.5703125" bestFit="1" customWidth="1"/>
    <col min="2779" max="2779" width="57.5703125" customWidth="1"/>
    <col min="2780" max="2780" width="14.28515625" customWidth="1"/>
    <col min="2781" max="2781" width="0.85546875" customWidth="1"/>
    <col min="2782" max="2782" width="16.5703125" bestFit="1" customWidth="1"/>
    <col min="2783" max="2783" width="13.42578125" bestFit="1" customWidth="1"/>
    <col min="3030" max="3030" width="4.85546875" bestFit="1" customWidth="1"/>
    <col min="3031" max="3031" width="5.85546875" bestFit="1" customWidth="1"/>
    <col min="3032" max="3032" width="7.42578125" bestFit="1" customWidth="1"/>
    <col min="3033" max="3033" width="8.140625" bestFit="1" customWidth="1"/>
    <col min="3034" max="3034" width="4.5703125" bestFit="1" customWidth="1"/>
    <col min="3035" max="3035" width="57.5703125" customWidth="1"/>
    <col min="3036" max="3036" width="14.28515625" customWidth="1"/>
    <col min="3037" max="3037" width="0.85546875" customWidth="1"/>
    <col min="3038" max="3038" width="16.5703125" bestFit="1" customWidth="1"/>
    <col min="3039" max="3039" width="13.42578125" bestFit="1" customWidth="1"/>
    <col min="3286" max="3286" width="4.85546875" bestFit="1" customWidth="1"/>
    <col min="3287" max="3287" width="5.85546875" bestFit="1" customWidth="1"/>
    <col min="3288" max="3288" width="7.42578125" bestFit="1" customWidth="1"/>
    <col min="3289" max="3289" width="8.140625" bestFit="1" customWidth="1"/>
    <col min="3290" max="3290" width="4.5703125" bestFit="1" customWidth="1"/>
    <col min="3291" max="3291" width="57.5703125" customWidth="1"/>
    <col min="3292" max="3292" width="14.28515625" customWidth="1"/>
    <col min="3293" max="3293" width="0.85546875" customWidth="1"/>
    <col min="3294" max="3294" width="16.5703125" bestFit="1" customWidth="1"/>
    <col min="3295" max="3295" width="13.42578125" bestFit="1" customWidth="1"/>
    <col min="3542" max="3542" width="4.85546875" bestFit="1" customWidth="1"/>
    <col min="3543" max="3543" width="5.85546875" bestFit="1" customWidth="1"/>
    <col min="3544" max="3544" width="7.42578125" bestFit="1" customWidth="1"/>
    <col min="3545" max="3545" width="8.140625" bestFit="1" customWidth="1"/>
    <col min="3546" max="3546" width="4.5703125" bestFit="1" customWidth="1"/>
    <col min="3547" max="3547" width="57.5703125" customWidth="1"/>
    <col min="3548" max="3548" width="14.28515625" customWidth="1"/>
    <col min="3549" max="3549" width="0.85546875" customWidth="1"/>
    <col min="3550" max="3550" width="16.5703125" bestFit="1" customWidth="1"/>
    <col min="3551" max="3551" width="13.42578125" bestFit="1" customWidth="1"/>
    <col min="3798" max="3798" width="4.85546875" bestFit="1" customWidth="1"/>
    <col min="3799" max="3799" width="5.85546875" bestFit="1" customWidth="1"/>
    <col min="3800" max="3800" width="7.42578125" bestFit="1" customWidth="1"/>
    <col min="3801" max="3801" width="8.140625" bestFit="1" customWidth="1"/>
    <col min="3802" max="3802" width="4.5703125" bestFit="1" customWidth="1"/>
    <col min="3803" max="3803" width="57.5703125" customWidth="1"/>
    <col min="3804" max="3804" width="14.28515625" customWidth="1"/>
    <col min="3805" max="3805" width="0.85546875" customWidth="1"/>
    <col min="3806" max="3806" width="16.5703125" bestFit="1" customWidth="1"/>
    <col min="3807" max="3807" width="13.42578125" bestFit="1" customWidth="1"/>
    <col min="4054" max="4054" width="4.85546875" bestFit="1" customWidth="1"/>
    <col min="4055" max="4055" width="5.85546875" bestFit="1" customWidth="1"/>
    <col min="4056" max="4056" width="7.42578125" bestFit="1" customWidth="1"/>
    <col min="4057" max="4057" width="8.140625" bestFit="1" customWidth="1"/>
    <col min="4058" max="4058" width="4.5703125" bestFit="1" customWidth="1"/>
    <col min="4059" max="4059" width="57.5703125" customWidth="1"/>
    <col min="4060" max="4060" width="14.28515625" customWidth="1"/>
    <col min="4061" max="4061" width="0.85546875" customWidth="1"/>
    <col min="4062" max="4062" width="16.5703125" bestFit="1" customWidth="1"/>
    <col min="4063" max="4063" width="13.42578125" bestFit="1" customWidth="1"/>
    <col min="4310" max="4310" width="4.85546875" bestFit="1" customWidth="1"/>
    <col min="4311" max="4311" width="5.85546875" bestFit="1" customWidth="1"/>
    <col min="4312" max="4312" width="7.42578125" bestFit="1" customWidth="1"/>
    <col min="4313" max="4313" width="8.140625" bestFit="1" customWidth="1"/>
    <col min="4314" max="4314" width="4.5703125" bestFit="1" customWidth="1"/>
    <col min="4315" max="4315" width="57.5703125" customWidth="1"/>
    <col min="4316" max="4316" width="14.28515625" customWidth="1"/>
    <col min="4317" max="4317" width="0.85546875" customWidth="1"/>
    <col min="4318" max="4318" width="16.5703125" bestFit="1" customWidth="1"/>
    <col min="4319" max="4319" width="13.42578125" bestFit="1" customWidth="1"/>
    <col min="4566" max="4566" width="4.85546875" bestFit="1" customWidth="1"/>
    <col min="4567" max="4567" width="5.85546875" bestFit="1" customWidth="1"/>
    <col min="4568" max="4568" width="7.42578125" bestFit="1" customWidth="1"/>
    <col min="4569" max="4569" width="8.140625" bestFit="1" customWidth="1"/>
    <col min="4570" max="4570" width="4.5703125" bestFit="1" customWidth="1"/>
    <col min="4571" max="4571" width="57.5703125" customWidth="1"/>
    <col min="4572" max="4572" width="14.28515625" customWidth="1"/>
    <col min="4573" max="4573" width="0.85546875" customWidth="1"/>
    <col min="4574" max="4574" width="16.5703125" bestFit="1" customWidth="1"/>
    <col min="4575" max="4575" width="13.42578125" bestFit="1" customWidth="1"/>
    <col min="4822" max="4822" width="4.85546875" bestFit="1" customWidth="1"/>
    <col min="4823" max="4823" width="5.85546875" bestFit="1" customWidth="1"/>
    <col min="4824" max="4824" width="7.42578125" bestFit="1" customWidth="1"/>
    <col min="4825" max="4825" width="8.140625" bestFit="1" customWidth="1"/>
    <col min="4826" max="4826" width="4.5703125" bestFit="1" customWidth="1"/>
    <col min="4827" max="4827" width="57.5703125" customWidth="1"/>
    <col min="4828" max="4828" width="14.28515625" customWidth="1"/>
    <col min="4829" max="4829" width="0.85546875" customWidth="1"/>
    <col min="4830" max="4830" width="16.5703125" bestFit="1" customWidth="1"/>
    <col min="4831" max="4831" width="13.42578125" bestFit="1" customWidth="1"/>
    <col min="5078" max="5078" width="4.85546875" bestFit="1" customWidth="1"/>
    <col min="5079" max="5079" width="5.85546875" bestFit="1" customWidth="1"/>
    <col min="5080" max="5080" width="7.42578125" bestFit="1" customWidth="1"/>
    <col min="5081" max="5081" width="8.140625" bestFit="1" customWidth="1"/>
    <col min="5082" max="5082" width="4.5703125" bestFit="1" customWidth="1"/>
    <col min="5083" max="5083" width="57.5703125" customWidth="1"/>
    <col min="5084" max="5084" width="14.28515625" customWidth="1"/>
    <col min="5085" max="5085" width="0.85546875" customWidth="1"/>
    <col min="5086" max="5086" width="16.5703125" bestFit="1" customWidth="1"/>
    <col min="5087" max="5087" width="13.42578125" bestFit="1" customWidth="1"/>
    <col min="5334" max="5334" width="4.85546875" bestFit="1" customWidth="1"/>
    <col min="5335" max="5335" width="5.85546875" bestFit="1" customWidth="1"/>
    <col min="5336" max="5336" width="7.42578125" bestFit="1" customWidth="1"/>
    <col min="5337" max="5337" width="8.140625" bestFit="1" customWidth="1"/>
    <col min="5338" max="5338" width="4.5703125" bestFit="1" customWidth="1"/>
    <col min="5339" max="5339" width="57.5703125" customWidth="1"/>
    <col min="5340" max="5340" width="14.28515625" customWidth="1"/>
    <col min="5341" max="5341" width="0.85546875" customWidth="1"/>
    <col min="5342" max="5342" width="16.5703125" bestFit="1" customWidth="1"/>
    <col min="5343" max="5343" width="13.42578125" bestFit="1" customWidth="1"/>
    <col min="5590" max="5590" width="4.85546875" bestFit="1" customWidth="1"/>
    <col min="5591" max="5591" width="5.85546875" bestFit="1" customWidth="1"/>
    <col min="5592" max="5592" width="7.42578125" bestFit="1" customWidth="1"/>
    <col min="5593" max="5593" width="8.140625" bestFit="1" customWidth="1"/>
    <col min="5594" max="5594" width="4.5703125" bestFit="1" customWidth="1"/>
    <col min="5595" max="5595" width="57.5703125" customWidth="1"/>
    <col min="5596" max="5596" width="14.28515625" customWidth="1"/>
    <col min="5597" max="5597" width="0.85546875" customWidth="1"/>
    <col min="5598" max="5598" width="16.5703125" bestFit="1" customWidth="1"/>
    <col min="5599" max="5599" width="13.42578125" bestFit="1" customWidth="1"/>
    <col min="5846" max="5846" width="4.85546875" bestFit="1" customWidth="1"/>
    <col min="5847" max="5847" width="5.85546875" bestFit="1" customWidth="1"/>
    <col min="5848" max="5848" width="7.42578125" bestFit="1" customWidth="1"/>
    <col min="5849" max="5849" width="8.140625" bestFit="1" customWidth="1"/>
    <col min="5850" max="5850" width="4.5703125" bestFit="1" customWidth="1"/>
    <col min="5851" max="5851" width="57.5703125" customWidth="1"/>
    <col min="5852" max="5852" width="14.28515625" customWidth="1"/>
    <col min="5853" max="5853" width="0.85546875" customWidth="1"/>
    <col min="5854" max="5854" width="16.5703125" bestFit="1" customWidth="1"/>
    <col min="5855" max="5855" width="13.42578125" bestFit="1" customWidth="1"/>
    <col min="6102" max="6102" width="4.85546875" bestFit="1" customWidth="1"/>
    <col min="6103" max="6103" width="5.85546875" bestFit="1" customWidth="1"/>
    <col min="6104" max="6104" width="7.42578125" bestFit="1" customWidth="1"/>
    <col min="6105" max="6105" width="8.140625" bestFit="1" customWidth="1"/>
    <col min="6106" max="6106" width="4.5703125" bestFit="1" customWidth="1"/>
    <col min="6107" max="6107" width="57.5703125" customWidth="1"/>
    <col min="6108" max="6108" width="14.28515625" customWidth="1"/>
    <col min="6109" max="6109" width="0.85546875" customWidth="1"/>
    <col min="6110" max="6110" width="16.5703125" bestFit="1" customWidth="1"/>
    <col min="6111" max="6111" width="13.42578125" bestFit="1" customWidth="1"/>
    <col min="6358" max="6358" width="4.85546875" bestFit="1" customWidth="1"/>
    <col min="6359" max="6359" width="5.85546875" bestFit="1" customWidth="1"/>
    <col min="6360" max="6360" width="7.42578125" bestFit="1" customWidth="1"/>
    <col min="6361" max="6361" width="8.140625" bestFit="1" customWidth="1"/>
    <col min="6362" max="6362" width="4.5703125" bestFit="1" customWidth="1"/>
    <col min="6363" max="6363" width="57.5703125" customWidth="1"/>
    <col min="6364" max="6364" width="14.28515625" customWidth="1"/>
    <col min="6365" max="6365" width="0.85546875" customWidth="1"/>
    <col min="6366" max="6366" width="16.5703125" bestFit="1" customWidth="1"/>
    <col min="6367" max="6367" width="13.42578125" bestFit="1" customWidth="1"/>
    <col min="6614" max="6614" width="4.85546875" bestFit="1" customWidth="1"/>
    <col min="6615" max="6615" width="5.85546875" bestFit="1" customWidth="1"/>
    <col min="6616" max="6616" width="7.42578125" bestFit="1" customWidth="1"/>
    <col min="6617" max="6617" width="8.140625" bestFit="1" customWidth="1"/>
    <col min="6618" max="6618" width="4.5703125" bestFit="1" customWidth="1"/>
    <col min="6619" max="6619" width="57.5703125" customWidth="1"/>
    <col min="6620" max="6620" width="14.28515625" customWidth="1"/>
    <col min="6621" max="6621" width="0.85546875" customWidth="1"/>
    <col min="6622" max="6622" width="16.5703125" bestFit="1" customWidth="1"/>
    <col min="6623" max="6623" width="13.42578125" bestFit="1" customWidth="1"/>
    <col min="6870" max="6870" width="4.85546875" bestFit="1" customWidth="1"/>
    <col min="6871" max="6871" width="5.85546875" bestFit="1" customWidth="1"/>
    <col min="6872" max="6872" width="7.42578125" bestFit="1" customWidth="1"/>
    <col min="6873" max="6873" width="8.140625" bestFit="1" customWidth="1"/>
    <col min="6874" max="6874" width="4.5703125" bestFit="1" customWidth="1"/>
    <col min="6875" max="6875" width="57.5703125" customWidth="1"/>
    <col min="6876" max="6876" width="14.28515625" customWidth="1"/>
    <col min="6877" max="6877" width="0.85546875" customWidth="1"/>
    <col min="6878" max="6878" width="16.5703125" bestFit="1" customWidth="1"/>
    <col min="6879" max="6879" width="13.42578125" bestFit="1" customWidth="1"/>
    <col min="7126" max="7126" width="4.85546875" bestFit="1" customWidth="1"/>
    <col min="7127" max="7127" width="5.85546875" bestFit="1" customWidth="1"/>
    <col min="7128" max="7128" width="7.42578125" bestFit="1" customWidth="1"/>
    <col min="7129" max="7129" width="8.140625" bestFit="1" customWidth="1"/>
    <col min="7130" max="7130" width="4.5703125" bestFit="1" customWidth="1"/>
    <col min="7131" max="7131" width="57.5703125" customWidth="1"/>
    <col min="7132" max="7132" width="14.28515625" customWidth="1"/>
    <col min="7133" max="7133" width="0.85546875" customWidth="1"/>
    <col min="7134" max="7134" width="16.5703125" bestFit="1" customWidth="1"/>
    <col min="7135" max="7135" width="13.42578125" bestFit="1" customWidth="1"/>
    <col min="7382" max="7382" width="4.85546875" bestFit="1" customWidth="1"/>
    <col min="7383" max="7383" width="5.85546875" bestFit="1" customWidth="1"/>
    <col min="7384" max="7384" width="7.42578125" bestFit="1" customWidth="1"/>
    <col min="7385" max="7385" width="8.140625" bestFit="1" customWidth="1"/>
    <col min="7386" max="7386" width="4.5703125" bestFit="1" customWidth="1"/>
    <col min="7387" max="7387" width="57.5703125" customWidth="1"/>
    <col min="7388" max="7388" width="14.28515625" customWidth="1"/>
    <col min="7389" max="7389" width="0.85546875" customWidth="1"/>
    <col min="7390" max="7390" width="16.5703125" bestFit="1" customWidth="1"/>
    <col min="7391" max="7391" width="13.42578125" bestFit="1" customWidth="1"/>
    <col min="7638" max="7638" width="4.85546875" bestFit="1" customWidth="1"/>
    <col min="7639" max="7639" width="5.85546875" bestFit="1" customWidth="1"/>
    <col min="7640" max="7640" width="7.42578125" bestFit="1" customWidth="1"/>
    <col min="7641" max="7641" width="8.140625" bestFit="1" customWidth="1"/>
    <col min="7642" max="7642" width="4.5703125" bestFit="1" customWidth="1"/>
    <col min="7643" max="7643" width="57.5703125" customWidth="1"/>
    <col min="7644" max="7644" width="14.28515625" customWidth="1"/>
    <col min="7645" max="7645" width="0.85546875" customWidth="1"/>
    <col min="7646" max="7646" width="16.5703125" bestFit="1" customWidth="1"/>
    <col min="7647" max="7647" width="13.42578125" bestFit="1" customWidth="1"/>
    <col min="7894" max="7894" width="4.85546875" bestFit="1" customWidth="1"/>
    <col min="7895" max="7895" width="5.85546875" bestFit="1" customWidth="1"/>
    <col min="7896" max="7896" width="7.42578125" bestFit="1" customWidth="1"/>
    <col min="7897" max="7897" width="8.140625" bestFit="1" customWidth="1"/>
    <col min="7898" max="7898" width="4.5703125" bestFit="1" customWidth="1"/>
    <col min="7899" max="7899" width="57.5703125" customWidth="1"/>
    <col min="7900" max="7900" width="14.28515625" customWidth="1"/>
    <col min="7901" max="7901" width="0.85546875" customWidth="1"/>
    <col min="7902" max="7902" width="16.5703125" bestFit="1" customWidth="1"/>
    <col min="7903" max="7903" width="13.42578125" bestFit="1" customWidth="1"/>
    <col min="8150" max="8150" width="4.85546875" bestFit="1" customWidth="1"/>
    <col min="8151" max="8151" width="5.85546875" bestFit="1" customWidth="1"/>
    <col min="8152" max="8152" width="7.42578125" bestFit="1" customWidth="1"/>
    <col min="8153" max="8153" width="8.140625" bestFit="1" customWidth="1"/>
    <col min="8154" max="8154" width="4.5703125" bestFit="1" customWidth="1"/>
    <col min="8155" max="8155" width="57.5703125" customWidth="1"/>
    <col min="8156" max="8156" width="14.28515625" customWidth="1"/>
    <col min="8157" max="8157" width="0.85546875" customWidth="1"/>
    <col min="8158" max="8158" width="16.5703125" bestFit="1" customWidth="1"/>
    <col min="8159" max="8159" width="13.42578125" bestFit="1" customWidth="1"/>
    <col min="8406" max="8406" width="4.85546875" bestFit="1" customWidth="1"/>
    <col min="8407" max="8407" width="5.85546875" bestFit="1" customWidth="1"/>
    <col min="8408" max="8408" width="7.42578125" bestFit="1" customWidth="1"/>
    <col min="8409" max="8409" width="8.140625" bestFit="1" customWidth="1"/>
    <col min="8410" max="8410" width="4.5703125" bestFit="1" customWidth="1"/>
    <col min="8411" max="8411" width="57.5703125" customWidth="1"/>
    <col min="8412" max="8412" width="14.28515625" customWidth="1"/>
    <col min="8413" max="8413" width="0.85546875" customWidth="1"/>
    <col min="8414" max="8414" width="16.5703125" bestFit="1" customWidth="1"/>
    <col min="8415" max="8415" width="13.42578125" bestFit="1" customWidth="1"/>
    <col min="8662" max="8662" width="4.85546875" bestFit="1" customWidth="1"/>
    <col min="8663" max="8663" width="5.85546875" bestFit="1" customWidth="1"/>
    <col min="8664" max="8664" width="7.42578125" bestFit="1" customWidth="1"/>
    <col min="8665" max="8665" width="8.140625" bestFit="1" customWidth="1"/>
    <col min="8666" max="8666" width="4.5703125" bestFit="1" customWidth="1"/>
    <col min="8667" max="8667" width="57.5703125" customWidth="1"/>
    <col min="8668" max="8668" width="14.28515625" customWidth="1"/>
    <col min="8669" max="8669" width="0.85546875" customWidth="1"/>
    <col min="8670" max="8670" width="16.5703125" bestFit="1" customWidth="1"/>
    <col min="8671" max="8671" width="13.42578125" bestFit="1" customWidth="1"/>
    <col min="8918" max="8918" width="4.85546875" bestFit="1" customWidth="1"/>
    <col min="8919" max="8919" width="5.85546875" bestFit="1" customWidth="1"/>
    <col min="8920" max="8920" width="7.42578125" bestFit="1" customWidth="1"/>
    <col min="8921" max="8921" width="8.140625" bestFit="1" customWidth="1"/>
    <col min="8922" max="8922" width="4.5703125" bestFit="1" customWidth="1"/>
    <col min="8923" max="8923" width="57.5703125" customWidth="1"/>
    <col min="8924" max="8924" width="14.28515625" customWidth="1"/>
    <col min="8925" max="8925" width="0.85546875" customWidth="1"/>
    <col min="8926" max="8926" width="16.5703125" bestFit="1" customWidth="1"/>
    <col min="8927" max="8927" width="13.42578125" bestFit="1" customWidth="1"/>
    <col min="9174" max="9174" width="4.85546875" bestFit="1" customWidth="1"/>
    <col min="9175" max="9175" width="5.85546875" bestFit="1" customWidth="1"/>
    <col min="9176" max="9176" width="7.42578125" bestFit="1" customWidth="1"/>
    <col min="9177" max="9177" width="8.140625" bestFit="1" customWidth="1"/>
    <col min="9178" max="9178" width="4.5703125" bestFit="1" customWidth="1"/>
    <col min="9179" max="9179" width="57.5703125" customWidth="1"/>
    <col min="9180" max="9180" width="14.28515625" customWidth="1"/>
    <col min="9181" max="9181" width="0.85546875" customWidth="1"/>
    <col min="9182" max="9182" width="16.5703125" bestFit="1" customWidth="1"/>
    <col min="9183" max="9183" width="13.42578125" bestFit="1" customWidth="1"/>
    <col min="9430" max="9430" width="4.85546875" bestFit="1" customWidth="1"/>
    <col min="9431" max="9431" width="5.85546875" bestFit="1" customWidth="1"/>
    <col min="9432" max="9432" width="7.42578125" bestFit="1" customWidth="1"/>
    <col min="9433" max="9433" width="8.140625" bestFit="1" customWidth="1"/>
    <col min="9434" max="9434" width="4.5703125" bestFit="1" customWidth="1"/>
    <col min="9435" max="9435" width="57.5703125" customWidth="1"/>
    <col min="9436" max="9436" width="14.28515625" customWidth="1"/>
    <col min="9437" max="9437" width="0.85546875" customWidth="1"/>
    <col min="9438" max="9438" width="16.5703125" bestFit="1" customWidth="1"/>
    <col min="9439" max="9439" width="13.42578125" bestFit="1" customWidth="1"/>
    <col min="9686" max="9686" width="4.85546875" bestFit="1" customWidth="1"/>
    <col min="9687" max="9687" width="5.85546875" bestFit="1" customWidth="1"/>
    <col min="9688" max="9688" width="7.42578125" bestFit="1" customWidth="1"/>
    <col min="9689" max="9689" width="8.140625" bestFit="1" customWidth="1"/>
    <col min="9690" max="9690" width="4.5703125" bestFit="1" customWidth="1"/>
    <col min="9691" max="9691" width="57.5703125" customWidth="1"/>
    <col min="9692" max="9692" width="14.28515625" customWidth="1"/>
    <col min="9693" max="9693" width="0.85546875" customWidth="1"/>
    <col min="9694" max="9694" width="16.5703125" bestFit="1" customWidth="1"/>
    <col min="9695" max="9695" width="13.42578125" bestFit="1" customWidth="1"/>
    <col min="9942" max="9942" width="4.85546875" bestFit="1" customWidth="1"/>
    <col min="9943" max="9943" width="5.85546875" bestFit="1" customWidth="1"/>
    <col min="9944" max="9944" width="7.42578125" bestFit="1" customWidth="1"/>
    <col min="9945" max="9945" width="8.140625" bestFit="1" customWidth="1"/>
    <col min="9946" max="9946" width="4.5703125" bestFit="1" customWidth="1"/>
    <col min="9947" max="9947" width="57.5703125" customWidth="1"/>
    <col min="9948" max="9948" width="14.28515625" customWidth="1"/>
    <col min="9949" max="9949" width="0.85546875" customWidth="1"/>
    <col min="9950" max="9950" width="16.5703125" bestFit="1" customWidth="1"/>
    <col min="9951" max="9951" width="13.42578125" bestFit="1" customWidth="1"/>
    <col min="10198" max="10198" width="4.85546875" bestFit="1" customWidth="1"/>
    <col min="10199" max="10199" width="5.85546875" bestFit="1" customWidth="1"/>
    <col min="10200" max="10200" width="7.42578125" bestFit="1" customWidth="1"/>
    <col min="10201" max="10201" width="8.140625" bestFit="1" customWidth="1"/>
    <col min="10202" max="10202" width="4.5703125" bestFit="1" customWidth="1"/>
    <col min="10203" max="10203" width="57.5703125" customWidth="1"/>
    <col min="10204" max="10204" width="14.28515625" customWidth="1"/>
    <col min="10205" max="10205" width="0.85546875" customWidth="1"/>
    <col min="10206" max="10206" width="16.5703125" bestFit="1" customWidth="1"/>
    <col min="10207" max="10207" width="13.42578125" bestFit="1" customWidth="1"/>
    <col min="10454" max="10454" width="4.85546875" bestFit="1" customWidth="1"/>
    <col min="10455" max="10455" width="5.85546875" bestFit="1" customWidth="1"/>
    <col min="10456" max="10456" width="7.42578125" bestFit="1" customWidth="1"/>
    <col min="10457" max="10457" width="8.140625" bestFit="1" customWidth="1"/>
    <col min="10458" max="10458" width="4.5703125" bestFit="1" customWidth="1"/>
    <col min="10459" max="10459" width="57.5703125" customWidth="1"/>
    <col min="10460" max="10460" width="14.28515625" customWidth="1"/>
    <col min="10461" max="10461" width="0.85546875" customWidth="1"/>
    <col min="10462" max="10462" width="16.5703125" bestFit="1" customWidth="1"/>
    <col min="10463" max="10463" width="13.42578125" bestFit="1" customWidth="1"/>
    <col min="10710" max="10710" width="4.85546875" bestFit="1" customWidth="1"/>
    <col min="10711" max="10711" width="5.85546875" bestFit="1" customWidth="1"/>
    <col min="10712" max="10712" width="7.42578125" bestFit="1" customWidth="1"/>
    <col min="10713" max="10713" width="8.140625" bestFit="1" customWidth="1"/>
    <col min="10714" max="10714" width="4.5703125" bestFit="1" customWidth="1"/>
    <col min="10715" max="10715" width="57.5703125" customWidth="1"/>
    <col min="10716" max="10716" width="14.28515625" customWidth="1"/>
    <col min="10717" max="10717" width="0.85546875" customWidth="1"/>
    <col min="10718" max="10718" width="16.5703125" bestFit="1" customWidth="1"/>
    <col min="10719" max="10719" width="13.42578125" bestFit="1" customWidth="1"/>
    <col min="10966" max="10966" width="4.85546875" bestFit="1" customWidth="1"/>
    <col min="10967" max="10967" width="5.85546875" bestFit="1" customWidth="1"/>
    <col min="10968" max="10968" width="7.42578125" bestFit="1" customWidth="1"/>
    <col min="10969" max="10969" width="8.140625" bestFit="1" customWidth="1"/>
    <col min="10970" max="10970" width="4.5703125" bestFit="1" customWidth="1"/>
    <col min="10971" max="10971" width="57.5703125" customWidth="1"/>
    <col min="10972" max="10972" width="14.28515625" customWidth="1"/>
    <col min="10973" max="10973" width="0.85546875" customWidth="1"/>
    <col min="10974" max="10974" width="16.5703125" bestFit="1" customWidth="1"/>
    <col min="10975" max="10975" width="13.42578125" bestFit="1" customWidth="1"/>
    <col min="11222" max="11222" width="4.85546875" bestFit="1" customWidth="1"/>
    <col min="11223" max="11223" width="5.85546875" bestFit="1" customWidth="1"/>
    <col min="11224" max="11224" width="7.42578125" bestFit="1" customWidth="1"/>
    <col min="11225" max="11225" width="8.140625" bestFit="1" customWidth="1"/>
    <col min="11226" max="11226" width="4.5703125" bestFit="1" customWidth="1"/>
    <col min="11227" max="11227" width="57.5703125" customWidth="1"/>
    <col min="11228" max="11228" width="14.28515625" customWidth="1"/>
    <col min="11229" max="11229" width="0.85546875" customWidth="1"/>
    <col min="11230" max="11230" width="16.5703125" bestFit="1" customWidth="1"/>
    <col min="11231" max="11231" width="13.42578125" bestFit="1" customWidth="1"/>
    <col min="11478" max="11478" width="4.85546875" bestFit="1" customWidth="1"/>
    <col min="11479" max="11479" width="5.85546875" bestFit="1" customWidth="1"/>
    <col min="11480" max="11480" width="7.42578125" bestFit="1" customWidth="1"/>
    <col min="11481" max="11481" width="8.140625" bestFit="1" customWidth="1"/>
    <col min="11482" max="11482" width="4.5703125" bestFit="1" customWidth="1"/>
    <col min="11483" max="11483" width="57.5703125" customWidth="1"/>
    <col min="11484" max="11484" width="14.28515625" customWidth="1"/>
    <col min="11485" max="11485" width="0.85546875" customWidth="1"/>
    <col min="11486" max="11486" width="16.5703125" bestFit="1" customWidth="1"/>
    <col min="11487" max="11487" width="13.42578125" bestFit="1" customWidth="1"/>
    <col min="11734" max="11734" width="4.85546875" bestFit="1" customWidth="1"/>
    <col min="11735" max="11735" width="5.85546875" bestFit="1" customWidth="1"/>
    <col min="11736" max="11736" width="7.42578125" bestFit="1" customWidth="1"/>
    <col min="11737" max="11737" width="8.140625" bestFit="1" customWidth="1"/>
    <col min="11738" max="11738" width="4.5703125" bestFit="1" customWidth="1"/>
    <col min="11739" max="11739" width="57.5703125" customWidth="1"/>
    <col min="11740" max="11740" width="14.28515625" customWidth="1"/>
    <col min="11741" max="11741" width="0.85546875" customWidth="1"/>
    <col min="11742" max="11742" width="16.5703125" bestFit="1" customWidth="1"/>
    <col min="11743" max="11743" width="13.42578125" bestFit="1" customWidth="1"/>
    <col min="11990" max="11990" width="4.85546875" bestFit="1" customWidth="1"/>
    <col min="11991" max="11991" width="5.85546875" bestFit="1" customWidth="1"/>
    <col min="11992" max="11992" width="7.42578125" bestFit="1" customWidth="1"/>
    <col min="11993" max="11993" width="8.140625" bestFit="1" customWidth="1"/>
    <col min="11994" max="11994" width="4.5703125" bestFit="1" customWidth="1"/>
    <col min="11995" max="11995" width="57.5703125" customWidth="1"/>
    <col min="11996" max="11996" width="14.28515625" customWidth="1"/>
    <col min="11997" max="11997" width="0.85546875" customWidth="1"/>
    <col min="11998" max="11998" width="16.5703125" bestFit="1" customWidth="1"/>
    <col min="11999" max="11999" width="13.42578125" bestFit="1" customWidth="1"/>
    <col min="12246" max="12246" width="4.85546875" bestFit="1" customWidth="1"/>
    <col min="12247" max="12247" width="5.85546875" bestFit="1" customWidth="1"/>
    <col min="12248" max="12248" width="7.42578125" bestFit="1" customWidth="1"/>
    <col min="12249" max="12249" width="8.140625" bestFit="1" customWidth="1"/>
    <col min="12250" max="12250" width="4.5703125" bestFit="1" customWidth="1"/>
    <col min="12251" max="12251" width="57.5703125" customWidth="1"/>
    <col min="12252" max="12252" width="14.28515625" customWidth="1"/>
    <col min="12253" max="12253" width="0.85546875" customWidth="1"/>
    <col min="12254" max="12254" width="16.5703125" bestFit="1" customWidth="1"/>
    <col min="12255" max="12255" width="13.42578125" bestFit="1" customWidth="1"/>
    <col min="12502" max="12502" width="4.85546875" bestFit="1" customWidth="1"/>
    <col min="12503" max="12503" width="5.85546875" bestFit="1" customWidth="1"/>
    <col min="12504" max="12504" width="7.42578125" bestFit="1" customWidth="1"/>
    <col min="12505" max="12505" width="8.140625" bestFit="1" customWidth="1"/>
    <col min="12506" max="12506" width="4.5703125" bestFit="1" customWidth="1"/>
    <col min="12507" max="12507" width="57.5703125" customWidth="1"/>
    <col min="12508" max="12508" width="14.28515625" customWidth="1"/>
    <col min="12509" max="12509" width="0.85546875" customWidth="1"/>
    <col min="12510" max="12510" width="16.5703125" bestFit="1" customWidth="1"/>
    <col min="12511" max="12511" width="13.42578125" bestFit="1" customWidth="1"/>
    <col min="12758" max="12758" width="4.85546875" bestFit="1" customWidth="1"/>
    <col min="12759" max="12759" width="5.85546875" bestFit="1" customWidth="1"/>
    <col min="12760" max="12760" width="7.42578125" bestFit="1" customWidth="1"/>
    <col min="12761" max="12761" width="8.140625" bestFit="1" customWidth="1"/>
    <col min="12762" max="12762" width="4.5703125" bestFit="1" customWidth="1"/>
    <col min="12763" max="12763" width="57.5703125" customWidth="1"/>
    <col min="12764" max="12764" width="14.28515625" customWidth="1"/>
    <col min="12765" max="12765" width="0.85546875" customWidth="1"/>
    <col min="12766" max="12766" width="16.5703125" bestFit="1" customWidth="1"/>
    <col min="12767" max="12767" width="13.42578125" bestFit="1" customWidth="1"/>
    <col min="13014" max="13014" width="4.85546875" bestFit="1" customWidth="1"/>
    <col min="13015" max="13015" width="5.85546875" bestFit="1" customWidth="1"/>
    <col min="13016" max="13016" width="7.42578125" bestFit="1" customWidth="1"/>
    <col min="13017" max="13017" width="8.140625" bestFit="1" customWidth="1"/>
    <col min="13018" max="13018" width="4.5703125" bestFit="1" customWidth="1"/>
    <col min="13019" max="13019" width="57.5703125" customWidth="1"/>
    <col min="13020" max="13020" width="14.28515625" customWidth="1"/>
    <col min="13021" max="13021" width="0.85546875" customWidth="1"/>
    <col min="13022" max="13022" width="16.5703125" bestFit="1" customWidth="1"/>
    <col min="13023" max="13023" width="13.42578125" bestFit="1" customWidth="1"/>
    <col min="13270" max="13270" width="4.85546875" bestFit="1" customWidth="1"/>
    <col min="13271" max="13271" width="5.85546875" bestFit="1" customWidth="1"/>
    <col min="13272" max="13272" width="7.42578125" bestFit="1" customWidth="1"/>
    <col min="13273" max="13273" width="8.140625" bestFit="1" customWidth="1"/>
    <col min="13274" max="13274" width="4.5703125" bestFit="1" customWidth="1"/>
    <col min="13275" max="13275" width="57.5703125" customWidth="1"/>
    <col min="13276" max="13276" width="14.28515625" customWidth="1"/>
    <col min="13277" max="13277" width="0.85546875" customWidth="1"/>
    <col min="13278" max="13278" width="16.5703125" bestFit="1" customWidth="1"/>
    <col min="13279" max="13279" width="13.42578125" bestFit="1" customWidth="1"/>
    <col min="13526" max="13526" width="4.85546875" bestFit="1" customWidth="1"/>
    <col min="13527" max="13527" width="5.85546875" bestFit="1" customWidth="1"/>
    <col min="13528" max="13528" width="7.42578125" bestFit="1" customWidth="1"/>
    <col min="13529" max="13529" width="8.140625" bestFit="1" customWidth="1"/>
    <col min="13530" max="13530" width="4.5703125" bestFit="1" customWidth="1"/>
    <col min="13531" max="13531" width="57.5703125" customWidth="1"/>
    <col min="13532" max="13532" width="14.28515625" customWidth="1"/>
    <col min="13533" max="13533" width="0.85546875" customWidth="1"/>
    <col min="13534" max="13534" width="16.5703125" bestFit="1" customWidth="1"/>
    <col min="13535" max="13535" width="13.42578125" bestFit="1" customWidth="1"/>
    <col min="13782" max="13782" width="4.85546875" bestFit="1" customWidth="1"/>
    <col min="13783" max="13783" width="5.85546875" bestFit="1" customWidth="1"/>
    <col min="13784" max="13784" width="7.42578125" bestFit="1" customWidth="1"/>
    <col min="13785" max="13785" width="8.140625" bestFit="1" customWidth="1"/>
    <col min="13786" max="13786" width="4.5703125" bestFit="1" customWidth="1"/>
    <col min="13787" max="13787" width="57.5703125" customWidth="1"/>
    <col min="13788" max="13788" width="14.28515625" customWidth="1"/>
    <col min="13789" max="13789" width="0.85546875" customWidth="1"/>
    <col min="13790" max="13790" width="16.5703125" bestFit="1" customWidth="1"/>
    <col min="13791" max="13791" width="13.42578125" bestFit="1" customWidth="1"/>
    <col min="14038" max="14038" width="4.85546875" bestFit="1" customWidth="1"/>
    <col min="14039" max="14039" width="5.85546875" bestFit="1" customWidth="1"/>
    <col min="14040" max="14040" width="7.42578125" bestFit="1" customWidth="1"/>
    <col min="14041" max="14041" width="8.140625" bestFit="1" customWidth="1"/>
    <col min="14042" max="14042" width="4.5703125" bestFit="1" customWidth="1"/>
    <col min="14043" max="14043" width="57.5703125" customWidth="1"/>
    <col min="14044" max="14044" width="14.28515625" customWidth="1"/>
    <col min="14045" max="14045" width="0.85546875" customWidth="1"/>
    <col min="14046" max="14046" width="16.5703125" bestFit="1" customWidth="1"/>
    <col min="14047" max="14047" width="13.42578125" bestFit="1" customWidth="1"/>
    <col min="14294" max="14294" width="4.85546875" bestFit="1" customWidth="1"/>
    <col min="14295" max="14295" width="5.85546875" bestFit="1" customWidth="1"/>
    <col min="14296" max="14296" width="7.42578125" bestFit="1" customWidth="1"/>
    <col min="14297" max="14297" width="8.140625" bestFit="1" customWidth="1"/>
    <col min="14298" max="14298" width="4.5703125" bestFit="1" customWidth="1"/>
    <col min="14299" max="14299" width="57.5703125" customWidth="1"/>
    <col min="14300" max="14300" width="14.28515625" customWidth="1"/>
    <col min="14301" max="14301" width="0.85546875" customWidth="1"/>
    <col min="14302" max="14302" width="16.5703125" bestFit="1" customWidth="1"/>
    <col min="14303" max="14303" width="13.42578125" bestFit="1" customWidth="1"/>
    <col min="14550" max="14550" width="4.85546875" bestFit="1" customWidth="1"/>
    <col min="14551" max="14551" width="5.85546875" bestFit="1" customWidth="1"/>
    <col min="14552" max="14552" width="7.42578125" bestFit="1" customWidth="1"/>
    <col min="14553" max="14553" width="8.140625" bestFit="1" customWidth="1"/>
    <col min="14554" max="14554" width="4.5703125" bestFit="1" customWidth="1"/>
    <col min="14555" max="14555" width="57.5703125" customWidth="1"/>
    <col min="14556" max="14556" width="14.28515625" customWidth="1"/>
    <col min="14557" max="14557" width="0.85546875" customWidth="1"/>
    <col min="14558" max="14558" width="16.5703125" bestFit="1" customWidth="1"/>
    <col min="14559" max="14559" width="13.42578125" bestFit="1" customWidth="1"/>
    <col min="14806" max="14806" width="4.85546875" bestFit="1" customWidth="1"/>
    <col min="14807" max="14807" width="5.85546875" bestFit="1" customWidth="1"/>
    <col min="14808" max="14808" width="7.42578125" bestFit="1" customWidth="1"/>
    <col min="14809" max="14809" width="8.140625" bestFit="1" customWidth="1"/>
    <col min="14810" max="14810" width="4.5703125" bestFit="1" customWidth="1"/>
    <col min="14811" max="14811" width="57.5703125" customWidth="1"/>
    <col min="14812" max="14812" width="14.28515625" customWidth="1"/>
    <col min="14813" max="14813" width="0.85546875" customWidth="1"/>
    <col min="14814" max="14814" width="16.5703125" bestFit="1" customWidth="1"/>
    <col min="14815" max="14815" width="13.42578125" bestFit="1" customWidth="1"/>
    <col min="15062" max="15062" width="4.85546875" bestFit="1" customWidth="1"/>
    <col min="15063" max="15063" width="5.85546875" bestFit="1" customWidth="1"/>
    <col min="15064" max="15064" width="7.42578125" bestFit="1" customWidth="1"/>
    <col min="15065" max="15065" width="8.140625" bestFit="1" customWidth="1"/>
    <col min="15066" max="15066" width="4.5703125" bestFit="1" customWidth="1"/>
    <col min="15067" max="15067" width="57.5703125" customWidth="1"/>
    <col min="15068" max="15068" width="14.28515625" customWidth="1"/>
    <col min="15069" max="15069" width="0.85546875" customWidth="1"/>
    <col min="15070" max="15070" width="16.5703125" bestFit="1" customWidth="1"/>
    <col min="15071" max="15071" width="13.42578125" bestFit="1" customWidth="1"/>
    <col min="15318" max="15318" width="4.85546875" bestFit="1" customWidth="1"/>
    <col min="15319" max="15319" width="5.85546875" bestFit="1" customWidth="1"/>
    <col min="15320" max="15320" width="7.42578125" bestFit="1" customWidth="1"/>
    <col min="15321" max="15321" width="8.140625" bestFit="1" customWidth="1"/>
    <col min="15322" max="15322" width="4.5703125" bestFit="1" customWidth="1"/>
    <col min="15323" max="15323" width="57.5703125" customWidth="1"/>
    <col min="15324" max="15324" width="14.28515625" customWidth="1"/>
    <col min="15325" max="15325" width="0.85546875" customWidth="1"/>
    <col min="15326" max="15326" width="16.5703125" bestFit="1" customWidth="1"/>
    <col min="15327" max="15327" width="13.42578125" bestFit="1" customWidth="1"/>
    <col min="15574" max="15574" width="4.85546875" bestFit="1" customWidth="1"/>
    <col min="15575" max="15575" width="5.85546875" bestFit="1" customWidth="1"/>
    <col min="15576" max="15576" width="7.42578125" bestFit="1" customWidth="1"/>
    <col min="15577" max="15577" width="8.140625" bestFit="1" customWidth="1"/>
    <col min="15578" max="15578" width="4.5703125" bestFit="1" customWidth="1"/>
    <col min="15579" max="15579" width="57.5703125" customWidth="1"/>
    <col min="15580" max="15580" width="14.28515625" customWidth="1"/>
    <col min="15581" max="15581" width="0.85546875" customWidth="1"/>
    <col min="15582" max="15582" width="16.5703125" bestFit="1" customWidth="1"/>
    <col min="15583" max="15583" width="13.42578125" bestFit="1" customWidth="1"/>
    <col min="15830" max="15830" width="4.85546875" bestFit="1" customWidth="1"/>
    <col min="15831" max="15831" width="5.85546875" bestFit="1" customWidth="1"/>
    <col min="15832" max="15832" width="7.42578125" bestFit="1" customWidth="1"/>
    <col min="15833" max="15833" width="8.140625" bestFit="1" customWidth="1"/>
    <col min="15834" max="15834" width="4.5703125" bestFit="1" customWidth="1"/>
    <col min="15835" max="15835" width="57.5703125" customWidth="1"/>
    <col min="15836" max="15836" width="14.28515625" customWidth="1"/>
    <col min="15837" max="15837" width="0.85546875" customWidth="1"/>
    <col min="15838" max="15838" width="16.5703125" bestFit="1" customWidth="1"/>
    <col min="15839" max="15839" width="13.42578125" bestFit="1" customWidth="1"/>
    <col min="16086" max="16086" width="4.85546875" bestFit="1" customWidth="1"/>
    <col min="16087" max="16087" width="5.85546875" bestFit="1" customWidth="1"/>
    <col min="16088" max="16088" width="7.42578125" bestFit="1" customWidth="1"/>
    <col min="16089" max="16089" width="8.140625" bestFit="1" customWidth="1"/>
    <col min="16090" max="16090" width="4.5703125" bestFit="1" customWidth="1"/>
    <col min="16091" max="16091" width="57.5703125" customWidth="1"/>
    <col min="16092" max="16092" width="14.28515625" customWidth="1"/>
    <col min="16093" max="16093" width="0.85546875" customWidth="1"/>
    <col min="16094" max="16094" width="16.5703125" bestFit="1" customWidth="1"/>
    <col min="16095" max="16095" width="13.42578125" bestFit="1" customWidth="1"/>
  </cols>
  <sheetData>
    <row r="1" spans="1:13" x14ac:dyDescent="0.25">
      <c r="A1" s="22"/>
      <c r="B1" s="22"/>
      <c r="C1" s="22"/>
      <c r="D1" s="22"/>
      <c r="E1" s="22"/>
      <c r="F1" s="22"/>
      <c r="G1" s="22"/>
      <c r="H1" s="23"/>
      <c r="I1" s="1"/>
    </row>
    <row r="2" spans="1:13" x14ac:dyDescent="0.25">
      <c r="A2" s="22"/>
      <c r="B2" s="22"/>
      <c r="C2" s="22"/>
      <c r="D2" s="22"/>
      <c r="E2" s="22"/>
      <c r="F2" s="22"/>
      <c r="G2" s="22"/>
      <c r="H2" s="23"/>
      <c r="I2" s="1"/>
    </row>
    <row r="3" spans="1:13" x14ac:dyDescent="0.25">
      <c r="A3" s="22"/>
      <c r="B3" s="22"/>
      <c r="C3" s="22"/>
      <c r="D3" s="22"/>
      <c r="E3" s="22"/>
      <c r="F3" s="22"/>
      <c r="G3" s="22"/>
      <c r="H3" s="23"/>
      <c r="I3" s="1"/>
    </row>
    <row r="4" spans="1:13" x14ac:dyDescent="0.25">
      <c r="A4" s="22"/>
      <c r="B4" s="22"/>
      <c r="C4" s="22"/>
      <c r="D4" s="22"/>
      <c r="E4" s="22"/>
      <c r="F4" s="22"/>
      <c r="G4" s="22"/>
      <c r="H4" s="23"/>
      <c r="I4" s="1"/>
    </row>
    <row r="5" spans="1:13" ht="20.25" x14ac:dyDescent="0.3">
      <c r="A5" s="122" t="str">
        <f>'[1]Estado de flujo de Efectivo'!A1:B1</f>
        <v>Consejo Económico y Social -CES-</v>
      </c>
      <c r="B5" s="122"/>
      <c r="C5" s="122"/>
      <c r="D5" s="122"/>
      <c r="E5" s="122"/>
      <c r="F5" s="122"/>
      <c r="G5" s="122"/>
      <c r="H5" s="122"/>
      <c r="I5" s="1"/>
    </row>
    <row r="6" spans="1:13" ht="20.25" x14ac:dyDescent="0.3">
      <c r="A6" s="122" t="s">
        <v>133</v>
      </c>
      <c r="B6" s="122"/>
      <c r="C6" s="122"/>
      <c r="D6" s="122"/>
      <c r="E6" s="122"/>
      <c r="F6" s="122"/>
      <c r="G6" s="122"/>
      <c r="H6" s="122"/>
      <c r="I6" s="1"/>
    </row>
    <row r="7" spans="1:13" ht="20.25" x14ac:dyDescent="0.3">
      <c r="A7" s="122" t="s">
        <v>0</v>
      </c>
      <c r="B7" s="122"/>
      <c r="C7" s="122"/>
      <c r="D7" s="122"/>
      <c r="E7" s="122"/>
      <c r="F7" s="122"/>
      <c r="G7" s="122"/>
      <c r="H7" s="122"/>
      <c r="I7" s="1"/>
    </row>
    <row r="8" spans="1:13" ht="18.75" customHeight="1" thickBot="1" x14ac:dyDescent="0.3">
      <c r="A8" s="101"/>
      <c r="B8" s="101"/>
      <c r="C8" s="101"/>
      <c r="D8" s="101"/>
      <c r="E8" s="106"/>
      <c r="F8" s="107"/>
      <c r="G8" s="108"/>
      <c r="H8" s="109"/>
      <c r="I8" s="1"/>
    </row>
    <row r="9" spans="1:13" ht="0.75" customHeight="1" thickBot="1" x14ac:dyDescent="0.3">
      <c r="A9" s="123" t="s">
        <v>1</v>
      </c>
      <c r="B9" s="124"/>
      <c r="C9" s="124"/>
      <c r="D9" s="124"/>
      <c r="E9" s="125"/>
      <c r="F9" s="25"/>
      <c r="G9" s="26" t="s">
        <v>2</v>
      </c>
      <c r="H9" s="27" t="s">
        <v>2</v>
      </c>
      <c r="I9" s="1"/>
    </row>
    <row r="10" spans="1:13" ht="31.5" customHeight="1" thickBot="1" x14ac:dyDescent="0.3">
      <c r="A10" s="119"/>
      <c r="B10" s="119"/>
      <c r="C10" s="120"/>
      <c r="D10" s="120"/>
      <c r="E10" s="121"/>
      <c r="F10" s="25"/>
      <c r="G10" s="28" t="s">
        <v>130</v>
      </c>
      <c r="H10" s="29" t="s">
        <v>131</v>
      </c>
      <c r="I10" s="2" t="s">
        <v>3</v>
      </c>
      <c r="J10" s="29" t="s">
        <v>134</v>
      </c>
      <c r="K10" s="29" t="s">
        <v>135</v>
      </c>
      <c r="L10" s="126" t="s">
        <v>3</v>
      </c>
    </row>
    <row r="11" spans="1:13" ht="32.25" thickBot="1" x14ac:dyDescent="0.3">
      <c r="A11" s="30" t="s">
        <v>4</v>
      </c>
      <c r="B11" s="28" t="s">
        <v>132</v>
      </c>
      <c r="C11" s="31" t="s">
        <v>5</v>
      </c>
      <c r="D11" s="28" t="s">
        <v>6</v>
      </c>
      <c r="E11" s="28" t="s">
        <v>7</v>
      </c>
      <c r="F11" s="119" t="s">
        <v>8</v>
      </c>
      <c r="G11" s="32" t="s">
        <v>9</v>
      </c>
      <c r="H11" s="33" t="s">
        <v>9</v>
      </c>
      <c r="I11" s="3" t="s">
        <v>9</v>
      </c>
      <c r="J11" s="33" t="s">
        <v>9</v>
      </c>
      <c r="K11" s="33" t="s">
        <v>9</v>
      </c>
      <c r="L11" s="33" t="s">
        <v>9</v>
      </c>
    </row>
    <row r="12" spans="1:13" ht="15.75" x14ac:dyDescent="0.25">
      <c r="A12" s="34"/>
      <c r="B12" s="35"/>
      <c r="C12" s="36"/>
      <c r="D12" s="37"/>
      <c r="E12" s="38"/>
      <c r="F12" s="110"/>
      <c r="G12" s="39"/>
      <c r="H12" s="40"/>
      <c r="I12" s="4"/>
      <c r="J12" s="40"/>
      <c r="K12" s="40"/>
      <c r="L12" s="4"/>
    </row>
    <row r="13" spans="1:13" ht="16.5" thickBot="1" x14ac:dyDescent="0.3">
      <c r="A13" s="35">
        <v>2</v>
      </c>
      <c r="B13" s="35">
        <v>1</v>
      </c>
      <c r="C13" s="41"/>
      <c r="D13" s="35"/>
      <c r="E13" s="42"/>
      <c r="F13" s="111" t="s">
        <v>10</v>
      </c>
      <c r="G13" s="43">
        <f>G14+G32+G43+G48</f>
        <v>33459772</v>
      </c>
      <c r="H13" s="43">
        <f>H14+H32+H43+H48</f>
        <v>2131632.61</v>
      </c>
      <c r="I13" s="43">
        <f t="shared" ref="I13:L13" si="0">I14+I32+I43+I48</f>
        <v>12718019.390000001</v>
      </c>
      <c r="J13" s="43">
        <f t="shared" si="0"/>
        <v>2133860.3199999998</v>
      </c>
      <c r="K13" s="43">
        <f t="shared" si="0"/>
        <v>4265492.93</v>
      </c>
      <c r="L13" s="43">
        <f t="shared" si="0"/>
        <v>29194279.07</v>
      </c>
    </row>
    <row r="14" spans="1:13" ht="16.5" thickBot="1" x14ac:dyDescent="0.3">
      <c r="A14" s="35">
        <v>2</v>
      </c>
      <c r="B14" s="35">
        <v>1</v>
      </c>
      <c r="C14" s="41">
        <v>1</v>
      </c>
      <c r="D14" s="35"/>
      <c r="E14" s="42"/>
      <c r="F14" s="111" t="s">
        <v>11</v>
      </c>
      <c r="G14" s="44">
        <f>G15+G18+G23+G26</f>
        <v>24193156</v>
      </c>
      <c r="H14" s="44">
        <f>H15+H18+H23+H26</f>
        <v>1861012</v>
      </c>
      <c r="I14" s="44">
        <f t="shared" ref="I14:K14" si="1">I15+I18+I23+I26</f>
        <v>3722024</v>
      </c>
      <c r="J14" s="44">
        <f t="shared" si="1"/>
        <v>1861012</v>
      </c>
      <c r="K14" s="44">
        <f t="shared" si="1"/>
        <v>3722024</v>
      </c>
      <c r="L14" s="44">
        <f>L15+L18+L23+L26</f>
        <v>20471132</v>
      </c>
    </row>
    <row r="15" spans="1:13" ht="16.5" thickBot="1" x14ac:dyDescent="0.3">
      <c r="A15" s="35">
        <v>2</v>
      </c>
      <c r="B15" s="35">
        <v>1</v>
      </c>
      <c r="C15" s="41">
        <v>1</v>
      </c>
      <c r="D15" s="35">
        <v>1</v>
      </c>
      <c r="E15" s="42"/>
      <c r="F15" s="111" t="s">
        <v>12</v>
      </c>
      <c r="G15" s="97">
        <f>G16</f>
        <v>22332144</v>
      </c>
      <c r="H15" s="46">
        <f>H16</f>
        <v>1861012</v>
      </c>
      <c r="I15" s="46">
        <f t="shared" ref="I15:L15" si="2">I16</f>
        <v>1861012</v>
      </c>
      <c r="J15" s="46">
        <f t="shared" si="2"/>
        <v>1861012</v>
      </c>
      <c r="K15" s="46">
        <f t="shared" si="2"/>
        <v>3722024</v>
      </c>
      <c r="L15" s="46">
        <f t="shared" si="2"/>
        <v>18610120</v>
      </c>
    </row>
    <row r="16" spans="1:13" ht="15.75" x14ac:dyDescent="0.25">
      <c r="A16" s="35">
        <v>2</v>
      </c>
      <c r="B16" s="35">
        <v>1</v>
      </c>
      <c r="C16" s="41">
        <v>1</v>
      </c>
      <c r="D16" s="35">
        <v>1</v>
      </c>
      <c r="E16" s="35">
        <v>1</v>
      </c>
      <c r="F16" s="112" t="s">
        <v>13</v>
      </c>
      <c r="G16" s="96">
        <f>6300000+16032144</f>
        <v>22332144</v>
      </c>
      <c r="H16" s="48">
        <f>185000+300000+225000+73200+185000+80000+120000+135000+53812+100000+85000+60000+120000+29000+70000+40000</f>
        <v>1861012</v>
      </c>
      <c r="I16" s="48">
        <f t="shared" ref="I16" si="3">185000+300000+225000+73200+185000+80000+120000+135000+53812+100000+85000+60000+120000+29000+70000+40000</f>
        <v>1861012</v>
      </c>
      <c r="J16" s="48">
        <f>185000+300000+225000+73200+185000+80000+120000+135000+53812+100000+85000+60000+120000+29000+70000+40000</f>
        <v>1861012</v>
      </c>
      <c r="K16" s="48">
        <f>+H16+J16</f>
        <v>3722024</v>
      </c>
      <c r="L16" s="48">
        <f>+G16-K16</f>
        <v>18610120</v>
      </c>
      <c r="M16" s="11"/>
    </row>
    <row r="17" spans="1:13" ht="15.75" x14ac:dyDescent="0.25">
      <c r="A17" s="35"/>
      <c r="B17" s="35"/>
      <c r="C17" s="41"/>
      <c r="D17" s="35"/>
      <c r="E17" s="34"/>
      <c r="F17" s="112"/>
      <c r="G17" s="104"/>
      <c r="H17" s="49"/>
      <c r="I17" s="6"/>
      <c r="J17" s="49"/>
      <c r="K17" s="127"/>
      <c r="L17" s="128"/>
      <c r="M17" s="11"/>
    </row>
    <row r="18" spans="1:13" ht="36" customHeight="1" thickBot="1" x14ac:dyDescent="0.3">
      <c r="A18" s="35">
        <v>2</v>
      </c>
      <c r="B18" s="35">
        <v>1</v>
      </c>
      <c r="C18" s="41">
        <v>1</v>
      </c>
      <c r="D18" s="35">
        <v>2</v>
      </c>
      <c r="E18" s="42"/>
      <c r="F18" s="69" t="s">
        <v>14</v>
      </c>
      <c r="G18" s="93">
        <f>G19</f>
        <v>0</v>
      </c>
      <c r="H18" s="93">
        <f>H19</f>
        <v>0</v>
      </c>
      <c r="I18" s="93">
        <f t="shared" ref="I18:K18" si="4">I19</f>
        <v>0</v>
      </c>
      <c r="J18" s="93">
        <f t="shared" si="4"/>
        <v>0</v>
      </c>
      <c r="K18" s="93">
        <f t="shared" si="4"/>
        <v>0</v>
      </c>
      <c r="L18" s="43">
        <f t="shared" ref="L18" si="5">L19+L20+L21</f>
        <v>0</v>
      </c>
      <c r="M18" s="11"/>
    </row>
    <row r="19" spans="1:13" ht="31.5" x14ac:dyDescent="0.25">
      <c r="A19" s="35">
        <v>2</v>
      </c>
      <c r="B19" s="35">
        <v>1</v>
      </c>
      <c r="C19" s="41">
        <v>1</v>
      </c>
      <c r="D19" s="35">
        <v>2</v>
      </c>
      <c r="E19" s="35">
        <v>1</v>
      </c>
      <c r="F19" s="68" t="s">
        <v>15</v>
      </c>
      <c r="G19" s="105"/>
      <c r="H19" s="49"/>
      <c r="I19" s="6">
        <f>+G19-H19</f>
        <v>0</v>
      </c>
      <c r="J19" s="49"/>
      <c r="K19" s="127">
        <f>+H19+J19</f>
        <v>0</v>
      </c>
      <c r="L19" s="128">
        <f>+G19-K19</f>
        <v>0</v>
      </c>
      <c r="M19" s="11"/>
    </row>
    <row r="20" spans="1:13" ht="15.75" x14ac:dyDescent="0.25">
      <c r="A20" s="35">
        <v>2</v>
      </c>
      <c r="B20" s="35">
        <v>1</v>
      </c>
      <c r="C20" s="41">
        <v>1</v>
      </c>
      <c r="D20" s="35">
        <v>2</v>
      </c>
      <c r="E20" s="35">
        <v>2</v>
      </c>
      <c r="F20" s="68" t="s">
        <v>16</v>
      </c>
      <c r="G20" s="104"/>
      <c r="H20" s="49"/>
      <c r="I20" s="6"/>
      <c r="J20" s="49"/>
      <c r="K20" s="127">
        <f>+H20+J20</f>
        <v>0</v>
      </c>
      <c r="L20" s="128"/>
      <c r="M20" s="11"/>
    </row>
    <row r="21" spans="1:13" ht="31.5" x14ac:dyDescent="0.25">
      <c r="A21" s="35">
        <v>2</v>
      </c>
      <c r="B21" s="35">
        <v>1</v>
      </c>
      <c r="C21" s="41">
        <v>1</v>
      </c>
      <c r="D21" s="35">
        <v>2</v>
      </c>
      <c r="E21" s="35">
        <v>5</v>
      </c>
      <c r="F21" s="68" t="s">
        <v>17</v>
      </c>
      <c r="G21" s="66"/>
      <c r="H21" s="54"/>
      <c r="I21" s="7">
        <f>+G21-H21</f>
        <v>0</v>
      </c>
      <c r="J21" s="54"/>
      <c r="K21" s="127">
        <f>+H21+J21</f>
        <v>0</v>
      </c>
      <c r="L21" s="129">
        <f>-G21-K21</f>
        <v>0</v>
      </c>
      <c r="M21" s="11"/>
    </row>
    <row r="22" spans="1:13" ht="15.75" x14ac:dyDescent="0.25">
      <c r="A22" s="35"/>
      <c r="B22" s="35"/>
      <c r="C22" s="41"/>
      <c r="D22" s="35"/>
      <c r="E22" s="35"/>
      <c r="F22" s="68"/>
      <c r="G22" s="66"/>
      <c r="H22" s="54" t="s">
        <v>18</v>
      </c>
      <c r="I22" s="7"/>
      <c r="J22" s="54" t="s">
        <v>18</v>
      </c>
      <c r="K22" s="127"/>
      <c r="L22" s="130"/>
      <c r="M22" s="11"/>
    </row>
    <row r="23" spans="1:13" ht="16.5" thickBot="1" x14ac:dyDescent="0.3">
      <c r="A23" s="35">
        <v>2</v>
      </c>
      <c r="B23" s="35">
        <v>1</v>
      </c>
      <c r="C23" s="41">
        <v>1</v>
      </c>
      <c r="D23" s="35">
        <v>4</v>
      </c>
      <c r="E23" s="42"/>
      <c r="F23" s="69" t="s">
        <v>19</v>
      </c>
      <c r="G23" s="93">
        <f>G24</f>
        <v>1861012</v>
      </c>
      <c r="H23" s="93">
        <f>H24</f>
        <v>0</v>
      </c>
      <c r="I23" s="93">
        <f t="shared" ref="I23:L23" si="6">I24</f>
        <v>1861012</v>
      </c>
      <c r="J23" s="93">
        <f t="shared" si="6"/>
        <v>0</v>
      </c>
      <c r="K23" s="93">
        <f t="shared" si="6"/>
        <v>0</v>
      </c>
      <c r="L23" s="43">
        <f t="shared" si="6"/>
        <v>1861012</v>
      </c>
      <c r="M23" s="11"/>
    </row>
    <row r="24" spans="1:13" ht="15.75" x14ac:dyDescent="0.25">
      <c r="A24" s="35">
        <v>2</v>
      </c>
      <c r="B24" s="35">
        <v>1</v>
      </c>
      <c r="C24" s="41">
        <v>1</v>
      </c>
      <c r="D24" s="35">
        <v>4</v>
      </c>
      <c r="E24" s="35">
        <v>1</v>
      </c>
      <c r="F24" s="68" t="s">
        <v>20</v>
      </c>
      <c r="G24" s="105">
        <v>1861012</v>
      </c>
      <c r="H24" s="53">
        <v>0</v>
      </c>
      <c r="I24" s="8">
        <f>+G24-H24</f>
        <v>1861012</v>
      </c>
      <c r="J24" s="53">
        <v>0</v>
      </c>
      <c r="K24" s="131">
        <f>+H24+J24</f>
        <v>0</v>
      </c>
      <c r="L24" s="132">
        <f>+G24-K24</f>
        <v>1861012</v>
      </c>
      <c r="M24" s="11"/>
    </row>
    <row r="25" spans="1:13" ht="15.75" x14ac:dyDescent="0.25">
      <c r="A25" s="35"/>
      <c r="B25" s="35"/>
      <c r="C25" s="41"/>
      <c r="D25" s="35"/>
      <c r="E25" s="35"/>
      <c r="F25" s="68"/>
      <c r="G25" s="66"/>
      <c r="H25" s="54"/>
      <c r="I25" s="7"/>
      <c r="J25" s="54"/>
      <c r="K25" s="133"/>
      <c r="L25" s="130"/>
      <c r="M25" s="11"/>
    </row>
    <row r="26" spans="1:13" ht="16.5" thickBot="1" x14ac:dyDescent="0.3">
      <c r="A26" s="35">
        <v>2</v>
      </c>
      <c r="B26" s="35">
        <v>1</v>
      </c>
      <c r="C26" s="41">
        <v>1</v>
      </c>
      <c r="D26" s="35">
        <v>5</v>
      </c>
      <c r="E26" s="42"/>
      <c r="F26" s="69" t="s">
        <v>21</v>
      </c>
      <c r="G26" s="65">
        <f>G27+G30</f>
        <v>0</v>
      </c>
      <c r="H26" s="65">
        <f>H27+H30</f>
        <v>0</v>
      </c>
      <c r="I26" s="65">
        <f t="shared" ref="I26:K26" si="7">I27+I30</f>
        <v>0</v>
      </c>
      <c r="J26" s="65">
        <f t="shared" si="7"/>
        <v>0</v>
      </c>
      <c r="K26" s="65">
        <f t="shared" si="7"/>
        <v>0</v>
      </c>
      <c r="L26" s="55">
        <f t="shared" ref="L26" si="8">L27+L30+L28+L29</f>
        <v>0</v>
      </c>
      <c r="M26" s="11"/>
    </row>
    <row r="27" spans="1:13" ht="15.75" x14ac:dyDescent="0.25">
      <c r="A27" s="35">
        <v>2</v>
      </c>
      <c r="B27" s="35">
        <v>1</v>
      </c>
      <c r="C27" s="41">
        <v>1</v>
      </c>
      <c r="D27" s="35">
        <v>5</v>
      </c>
      <c r="E27" s="35">
        <v>1</v>
      </c>
      <c r="F27" s="68" t="s">
        <v>21</v>
      </c>
      <c r="G27" s="66"/>
      <c r="H27" s="53">
        <v>0</v>
      </c>
      <c r="I27" s="7">
        <f>+G27-H27</f>
        <v>0</v>
      </c>
      <c r="J27" s="53">
        <v>0</v>
      </c>
      <c r="K27" s="133">
        <f>+H27+J27</f>
        <v>0</v>
      </c>
      <c r="L27" s="129">
        <f>+G27-K27</f>
        <v>0</v>
      </c>
      <c r="M27" s="11"/>
    </row>
    <row r="28" spans="1:13" ht="31.5" x14ac:dyDescent="0.25">
      <c r="A28" s="35">
        <v>2</v>
      </c>
      <c r="B28" s="35">
        <v>1</v>
      </c>
      <c r="C28" s="41">
        <v>1</v>
      </c>
      <c r="D28" s="35">
        <v>5</v>
      </c>
      <c r="E28" s="35">
        <v>2</v>
      </c>
      <c r="F28" s="68" t="s">
        <v>22</v>
      </c>
      <c r="G28" s="66"/>
      <c r="H28" s="54">
        <v>0</v>
      </c>
      <c r="I28" s="7">
        <f>+G28-H28</f>
        <v>0</v>
      </c>
      <c r="J28" s="54">
        <v>0</v>
      </c>
      <c r="K28" s="133">
        <f t="shared" ref="K28:K30" si="9">+H28+J28</f>
        <v>0</v>
      </c>
      <c r="L28" s="130">
        <f>-G28-K28</f>
        <v>0</v>
      </c>
      <c r="M28" s="11"/>
    </row>
    <row r="29" spans="1:13" ht="31.5" x14ac:dyDescent="0.25">
      <c r="A29" s="35">
        <v>2</v>
      </c>
      <c r="B29" s="35">
        <v>1</v>
      </c>
      <c r="C29" s="41">
        <v>1</v>
      </c>
      <c r="D29" s="35">
        <v>5</v>
      </c>
      <c r="E29" s="35">
        <v>3</v>
      </c>
      <c r="F29" s="68" t="s">
        <v>23</v>
      </c>
      <c r="G29" s="66"/>
      <c r="H29" s="54"/>
      <c r="I29" s="7">
        <f>+G29-H29</f>
        <v>0</v>
      </c>
      <c r="J29" s="54"/>
      <c r="K29" s="133">
        <f t="shared" si="9"/>
        <v>0</v>
      </c>
      <c r="L29" s="130">
        <f>-G29-K29</f>
        <v>0</v>
      </c>
      <c r="M29" s="11"/>
    </row>
    <row r="30" spans="1:13" ht="31.5" x14ac:dyDescent="0.25">
      <c r="A30" s="35">
        <v>2</v>
      </c>
      <c r="B30" s="35">
        <v>1</v>
      </c>
      <c r="C30" s="41">
        <v>1</v>
      </c>
      <c r="D30" s="35">
        <v>5</v>
      </c>
      <c r="E30" s="35">
        <v>4</v>
      </c>
      <c r="F30" s="68" t="s">
        <v>24</v>
      </c>
      <c r="G30" s="66"/>
      <c r="H30" s="54"/>
      <c r="I30" s="7"/>
      <c r="J30" s="54"/>
      <c r="K30" s="133">
        <f t="shared" si="9"/>
        <v>0</v>
      </c>
      <c r="L30" s="130"/>
      <c r="M30" s="11"/>
    </row>
    <row r="31" spans="1:13" ht="15.75" x14ac:dyDescent="0.25">
      <c r="A31" s="35"/>
      <c r="B31" s="35"/>
      <c r="C31" s="41"/>
      <c r="D31" s="35"/>
      <c r="E31" s="35"/>
      <c r="F31" s="68"/>
      <c r="G31" s="66"/>
      <c r="H31" s="54"/>
      <c r="I31" s="7"/>
      <c r="J31" s="54"/>
      <c r="K31" s="133"/>
      <c r="L31" s="130"/>
      <c r="M31" s="11"/>
    </row>
    <row r="32" spans="1:13" ht="15.75" x14ac:dyDescent="0.25">
      <c r="A32" s="35">
        <v>2</v>
      </c>
      <c r="B32" s="35">
        <v>1</v>
      </c>
      <c r="C32" s="41">
        <v>2</v>
      </c>
      <c r="D32" s="35"/>
      <c r="E32" s="35"/>
      <c r="F32" s="69" t="s">
        <v>25</v>
      </c>
      <c r="G32" s="118">
        <f>G33</f>
        <v>5992436</v>
      </c>
      <c r="H32" s="98">
        <f>H33</f>
        <v>0</v>
      </c>
      <c r="I32" s="98">
        <f t="shared" ref="I32:L32" si="10">I33</f>
        <v>5992436</v>
      </c>
      <c r="J32" s="98">
        <f t="shared" si="10"/>
        <v>0</v>
      </c>
      <c r="K32" s="98">
        <f t="shared" si="10"/>
        <v>0</v>
      </c>
      <c r="L32" s="98">
        <f t="shared" si="10"/>
        <v>5992436</v>
      </c>
      <c r="M32" s="11"/>
    </row>
    <row r="33" spans="1:13" ht="16.5" thickBot="1" x14ac:dyDescent="0.3">
      <c r="A33" s="35">
        <v>2</v>
      </c>
      <c r="B33" s="35">
        <v>1</v>
      </c>
      <c r="C33" s="35">
        <v>2</v>
      </c>
      <c r="D33" s="35">
        <v>2</v>
      </c>
      <c r="E33" s="35"/>
      <c r="F33" s="69" t="s">
        <v>26</v>
      </c>
      <c r="G33" s="93">
        <f>+G35+G36+G37+G39</f>
        <v>5992436</v>
      </c>
      <c r="H33" s="43">
        <f>+H35+H36+H37+H39</f>
        <v>0</v>
      </c>
      <c r="I33" s="43">
        <f t="shared" ref="I33:L33" si="11">+I35+I36+I37+I39</f>
        <v>5992436</v>
      </c>
      <c r="J33" s="43">
        <f t="shared" si="11"/>
        <v>0</v>
      </c>
      <c r="K33" s="43">
        <f t="shared" si="11"/>
        <v>0</v>
      </c>
      <c r="L33" s="43">
        <f t="shared" si="11"/>
        <v>5992436</v>
      </c>
      <c r="M33" s="11"/>
    </row>
    <row r="34" spans="1:13" ht="31.5" x14ac:dyDescent="0.25">
      <c r="A34" s="35">
        <v>2</v>
      </c>
      <c r="B34" s="35">
        <v>1</v>
      </c>
      <c r="C34" s="35">
        <v>2</v>
      </c>
      <c r="D34" s="35">
        <v>2</v>
      </c>
      <c r="E34" s="35">
        <v>2</v>
      </c>
      <c r="F34" s="69" t="s">
        <v>27</v>
      </c>
      <c r="G34" s="95"/>
      <c r="H34" s="44">
        <v>0</v>
      </c>
      <c r="I34" s="5">
        <v>0</v>
      </c>
      <c r="J34" s="44">
        <v>0</v>
      </c>
      <c r="K34" s="134">
        <f>+H34+J34</f>
        <v>0</v>
      </c>
      <c r="L34" s="135">
        <f>+G34-K34</f>
        <v>0</v>
      </c>
      <c r="M34" s="11"/>
    </row>
    <row r="35" spans="1:13" ht="15.75" x14ac:dyDescent="0.25">
      <c r="A35" s="35">
        <v>2</v>
      </c>
      <c r="B35" s="35">
        <v>1</v>
      </c>
      <c r="C35" s="35">
        <v>2</v>
      </c>
      <c r="D35" s="35">
        <v>2</v>
      </c>
      <c r="E35" s="35">
        <v>4</v>
      </c>
      <c r="F35" s="68" t="s">
        <v>28</v>
      </c>
      <c r="G35" s="66">
        <v>0</v>
      </c>
      <c r="H35" s="54">
        <v>0</v>
      </c>
      <c r="I35" s="7">
        <f>+G35-H35</f>
        <v>0</v>
      </c>
      <c r="J35" s="54">
        <v>0</v>
      </c>
      <c r="K35" s="134">
        <f t="shared" ref="K35:K37" si="12">+H35+J35</f>
        <v>0</v>
      </c>
      <c r="L35" s="130">
        <f>+G35-K35</f>
        <v>0</v>
      </c>
      <c r="M35" s="11"/>
    </row>
    <row r="36" spans="1:13" ht="15.75" x14ac:dyDescent="0.25">
      <c r="A36" s="35">
        <v>2</v>
      </c>
      <c r="B36" s="35">
        <v>1</v>
      </c>
      <c r="C36" s="35">
        <v>2</v>
      </c>
      <c r="D36" s="35">
        <v>2</v>
      </c>
      <c r="E36" s="35">
        <v>10</v>
      </c>
      <c r="F36" s="68" t="s">
        <v>125</v>
      </c>
      <c r="G36" s="66">
        <v>1362012</v>
      </c>
      <c r="H36" s="54"/>
      <c r="I36" s="7">
        <f>+G36-H36</f>
        <v>1362012</v>
      </c>
      <c r="J36" s="54"/>
      <c r="K36" s="134">
        <f t="shared" si="12"/>
        <v>0</v>
      </c>
      <c r="L36" s="130">
        <f>+G36-K36</f>
        <v>1362012</v>
      </c>
      <c r="M36" s="11"/>
    </row>
    <row r="37" spans="1:13" ht="15.75" x14ac:dyDescent="0.25">
      <c r="A37" s="35">
        <v>2</v>
      </c>
      <c r="B37" s="35">
        <v>1</v>
      </c>
      <c r="C37" s="35">
        <v>2</v>
      </c>
      <c r="D37" s="35">
        <v>2</v>
      </c>
      <c r="E37" s="35">
        <v>15</v>
      </c>
      <c r="F37" s="68" t="s">
        <v>29</v>
      </c>
      <c r="G37" s="66">
        <v>2847012</v>
      </c>
      <c r="H37" s="54"/>
      <c r="I37" s="7">
        <f>+G37-H37</f>
        <v>2847012</v>
      </c>
      <c r="J37" s="54"/>
      <c r="K37" s="134">
        <f t="shared" si="12"/>
        <v>0</v>
      </c>
      <c r="L37" s="130">
        <f t="shared" ref="L37" si="13">+G37-K37</f>
        <v>2847012</v>
      </c>
      <c r="M37" s="11"/>
    </row>
    <row r="38" spans="1:13" ht="16.5" thickBot="1" x14ac:dyDescent="0.3">
      <c r="A38" s="35"/>
      <c r="B38" s="35"/>
      <c r="C38" s="41"/>
      <c r="D38" s="35"/>
      <c r="E38" s="35"/>
      <c r="F38" s="68"/>
      <c r="G38" s="66"/>
      <c r="H38" s="54"/>
      <c r="I38" s="7"/>
      <c r="J38" s="54"/>
      <c r="K38" s="133"/>
      <c r="L38" s="130"/>
      <c r="M38" s="11"/>
    </row>
    <row r="39" spans="1:13" ht="16.5" thickBot="1" x14ac:dyDescent="0.3">
      <c r="A39" s="35">
        <v>2</v>
      </c>
      <c r="B39" s="35">
        <v>1</v>
      </c>
      <c r="C39" s="41">
        <v>3</v>
      </c>
      <c r="D39" s="35">
        <v>7</v>
      </c>
      <c r="E39" s="35"/>
      <c r="F39" s="69" t="s">
        <v>126</v>
      </c>
      <c r="G39" s="94">
        <f>+G40+G41</f>
        <v>1783412</v>
      </c>
      <c r="H39" s="56">
        <f>+H40+H41</f>
        <v>0</v>
      </c>
      <c r="I39" s="56">
        <f t="shared" ref="I39:K39" si="14">+I40+I41</f>
        <v>1783412</v>
      </c>
      <c r="J39" s="56">
        <f t="shared" si="14"/>
        <v>0</v>
      </c>
      <c r="K39" s="56">
        <f t="shared" si="14"/>
        <v>0</v>
      </c>
      <c r="L39" s="56">
        <f>+L40+L41</f>
        <v>1783412</v>
      </c>
      <c r="M39" s="11"/>
    </row>
    <row r="40" spans="1:13" ht="15.75" x14ac:dyDescent="0.25">
      <c r="A40" s="35">
        <v>2</v>
      </c>
      <c r="B40" s="35">
        <v>1</v>
      </c>
      <c r="C40" s="41">
        <v>3</v>
      </c>
      <c r="D40" s="35">
        <v>7</v>
      </c>
      <c r="E40" s="35">
        <v>2</v>
      </c>
      <c r="F40" s="68" t="s">
        <v>127</v>
      </c>
      <c r="G40" s="66">
        <v>190000</v>
      </c>
      <c r="H40" s="54"/>
      <c r="I40" s="7">
        <f>+G40-H40</f>
        <v>190000</v>
      </c>
      <c r="J40" s="54"/>
      <c r="K40" s="133">
        <f>+H40+J40</f>
        <v>0</v>
      </c>
      <c r="L40" s="130">
        <f>+G40-K40</f>
        <v>190000</v>
      </c>
      <c r="M40" s="11"/>
    </row>
    <row r="41" spans="1:13" ht="15.75" x14ac:dyDescent="0.25">
      <c r="A41" s="35">
        <v>2</v>
      </c>
      <c r="B41" s="35">
        <v>1</v>
      </c>
      <c r="C41" s="41">
        <v>3</v>
      </c>
      <c r="D41" s="35">
        <v>7</v>
      </c>
      <c r="E41" s="35">
        <v>4</v>
      </c>
      <c r="F41" s="68" t="s">
        <v>128</v>
      </c>
      <c r="G41" s="66">
        <v>1593412</v>
      </c>
      <c r="H41" s="54"/>
      <c r="I41" s="7">
        <f>+G41-H41</f>
        <v>1593412</v>
      </c>
      <c r="J41" s="54"/>
      <c r="K41" s="133">
        <f t="shared" ref="K41:K42" si="15">+H41+J41</f>
        <v>0</v>
      </c>
      <c r="L41" s="130">
        <f>+G41-K41</f>
        <v>1593412</v>
      </c>
      <c r="M41" s="11"/>
    </row>
    <row r="42" spans="1:13" ht="15.75" x14ac:dyDescent="0.25">
      <c r="A42" s="35"/>
      <c r="B42" s="35"/>
      <c r="C42" s="41"/>
      <c r="D42" s="35"/>
      <c r="E42" s="35"/>
      <c r="F42" s="68"/>
      <c r="G42" s="66"/>
      <c r="H42" s="54"/>
      <c r="I42" s="7"/>
      <c r="J42" s="54"/>
      <c r="K42" s="133">
        <f t="shared" si="15"/>
        <v>0</v>
      </c>
      <c r="L42" s="130"/>
      <c r="M42" s="11"/>
    </row>
    <row r="43" spans="1:13" s="9" customFormat="1" ht="16.5" thickBot="1" x14ac:dyDescent="0.3">
      <c r="A43" s="35">
        <v>2</v>
      </c>
      <c r="B43" s="35">
        <v>1</v>
      </c>
      <c r="C43" s="41">
        <v>3</v>
      </c>
      <c r="D43" s="35"/>
      <c r="E43" s="35"/>
      <c r="F43" s="69" t="s">
        <v>30</v>
      </c>
      <c r="G43" s="66"/>
      <c r="H43" s="54"/>
      <c r="I43" s="5">
        <f>SUM(I44:I46)</f>
        <v>0</v>
      </c>
      <c r="J43" s="54"/>
      <c r="K43" s="133"/>
      <c r="L43" s="135">
        <f>SUM(L44:L46)</f>
        <v>0</v>
      </c>
      <c r="M43" s="136"/>
    </row>
    <row r="44" spans="1:13" ht="16.5" thickBot="1" x14ac:dyDescent="0.3">
      <c r="A44" s="35">
        <v>2</v>
      </c>
      <c r="B44" s="35">
        <v>1</v>
      </c>
      <c r="C44" s="41">
        <v>3</v>
      </c>
      <c r="D44" s="35">
        <v>1</v>
      </c>
      <c r="E44" s="42"/>
      <c r="F44" s="69" t="s">
        <v>31</v>
      </c>
      <c r="G44" s="97">
        <f>G45+G46</f>
        <v>0</v>
      </c>
      <c r="H44" s="46">
        <f>H45+H46</f>
        <v>0</v>
      </c>
      <c r="I44" s="46">
        <f t="shared" ref="I44:L44" si="16">I45+I46</f>
        <v>0</v>
      </c>
      <c r="J44" s="46">
        <f t="shared" si="16"/>
        <v>0</v>
      </c>
      <c r="K44" s="46">
        <f t="shared" si="16"/>
        <v>0</v>
      </c>
      <c r="L44" s="46">
        <f t="shared" si="16"/>
        <v>0</v>
      </c>
      <c r="M44" s="11"/>
    </row>
    <row r="45" spans="1:13" ht="15.75" x14ac:dyDescent="0.25">
      <c r="A45" s="35">
        <v>2</v>
      </c>
      <c r="B45" s="35">
        <v>1</v>
      </c>
      <c r="C45" s="41">
        <v>3</v>
      </c>
      <c r="D45" s="35">
        <v>1</v>
      </c>
      <c r="E45" s="35">
        <v>1</v>
      </c>
      <c r="F45" s="68" t="s">
        <v>32</v>
      </c>
      <c r="G45" s="105"/>
      <c r="H45" s="54">
        <f>G45*12</f>
        <v>0</v>
      </c>
      <c r="I45" s="7">
        <f>+G45-H45</f>
        <v>0</v>
      </c>
      <c r="J45" s="54">
        <f>I45*12</f>
        <v>0</v>
      </c>
      <c r="K45" s="133">
        <f>+H45+J45</f>
        <v>0</v>
      </c>
      <c r="L45" s="130">
        <f>+G45-K45</f>
        <v>0</v>
      </c>
      <c r="M45" s="11"/>
    </row>
    <row r="46" spans="1:13" ht="15.75" x14ac:dyDescent="0.25">
      <c r="A46" s="35">
        <v>2</v>
      </c>
      <c r="B46" s="35">
        <v>1</v>
      </c>
      <c r="C46" s="41">
        <v>3</v>
      </c>
      <c r="D46" s="35">
        <v>1</v>
      </c>
      <c r="E46" s="35">
        <v>2</v>
      </c>
      <c r="F46" s="68" t="s">
        <v>33</v>
      </c>
      <c r="G46" s="66"/>
      <c r="H46" s="54">
        <f>G46*12</f>
        <v>0</v>
      </c>
      <c r="I46" s="7">
        <f>+G46-H47</f>
        <v>0</v>
      </c>
      <c r="J46" s="54">
        <f>I46*12</f>
        <v>0</v>
      </c>
      <c r="K46" s="133">
        <f>+H46+J46</f>
        <v>0</v>
      </c>
      <c r="L46" s="130">
        <f>+G46-K46</f>
        <v>0</v>
      </c>
      <c r="M46" s="11"/>
    </row>
    <row r="47" spans="1:13" ht="15.75" x14ac:dyDescent="0.25">
      <c r="A47" s="35"/>
      <c r="B47" s="35"/>
      <c r="C47" s="41"/>
      <c r="D47" s="35"/>
      <c r="E47" s="35"/>
      <c r="F47" s="68"/>
      <c r="G47" s="66"/>
      <c r="H47" s="54"/>
      <c r="I47" s="7">
        <f>+G47-H47</f>
        <v>0</v>
      </c>
      <c r="J47" s="54"/>
      <c r="K47" s="133"/>
      <c r="L47" s="130"/>
      <c r="M47" s="11"/>
    </row>
    <row r="48" spans="1:13" ht="32.25" thickBot="1" x14ac:dyDescent="0.3">
      <c r="A48" s="35">
        <v>2</v>
      </c>
      <c r="B48" s="58">
        <v>1</v>
      </c>
      <c r="C48" s="59">
        <v>5</v>
      </c>
      <c r="D48" s="42"/>
      <c r="E48" s="42"/>
      <c r="F48" s="69" t="s">
        <v>34</v>
      </c>
      <c r="G48" s="93">
        <f>SUM(G49:G51)</f>
        <v>3274180</v>
      </c>
      <c r="H48" s="44">
        <f>SUM(H49:H51)</f>
        <v>270620.61000000004</v>
      </c>
      <c r="I48" s="44">
        <f t="shared" ref="I48:L48" si="17">SUM(I49:I51)</f>
        <v>3003559.39</v>
      </c>
      <c r="J48" s="44">
        <f t="shared" si="17"/>
        <v>272848.32</v>
      </c>
      <c r="K48" s="44">
        <f t="shared" si="17"/>
        <v>543468.93000000005</v>
      </c>
      <c r="L48" s="44">
        <f t="shared" si="17"/>
        <v>2730711.0700000003</v>
      </c>
      <c r="M48" s="11"/>
    </row>
    <row r="49" spans="1:13" ht="15.75" x14ac:dyDescent="0.25">
      <c r="A49" s="35">
        <v>2</v>
      </c>
      <c r="B49" s="35">
        <v>1</v>
      </c>
      <c r="C49" s="41">
        <v>5</v>
      </c>
      <c r="D49" s="35">
        <v>1</v>
      </c>
      <c r="E49" s="35"/>
      <c r="F49" s="112" t="s">
        <v>35</v>
      </c>
      <c r="G49" s="105">
        <v>1525690</v>
      </c>
      <c r="H49" s="53">
        <v>125458.11</v>
      </c>
      <c r="I49" s="53">
        <f>+G49-H49</f>
        <v>1400231.89</v>
      </c>
      <c r="J49" s="53">
        <v>127140.86</v>
      </c>
      <c r="K49" s="131">
        <f>+H49+J49</f>
        <v>252598.97</v>
      </c>
      <c r="L49" s="137">
        <f>+G49-K49</f>
        <v>1273091.03</v>
      </c>
      <c r="M49" s="11"/>
    </row>
    <row r="50" spans="1:13" ht="31.5" x14ac:dyDescent="0.25">
      <c r="A50" s="35">
        <v>2</v>
      </c>
      <c r="B50" s="35">
        <v>1</v>
      </c>
      <c r="C50" s="41">
        <v>5</v>
      </c>
      <c r="D50" s="35">
        <v>2</v>
      </c>
      <c r="E50" s="35"/>
      <c r="F50" s="112" t="s">
        <v>36</v>
      </c>
      <c r="G50" s="66">
        <v>1585582</v>
      </c>
      <c r="H50" s="54">
        <v>132131.85</v>
      </c>
      <c r="I50" s="54">
        <f>+G50-H50</f>
        <v>1453450.15</v>
      </c>
      <c r="J50" s="54">
        <v>132131.85</v>
      </c>
      <c r="K50" s="133">
        <f>+H50+J50</f>
        <v>264263.7</v>
      </c>
      <c r="L50" s="138">
        <f>+G50-K50</f>
        <v>1321318.3</v>
      </c>
      <c r="M50" s="11"/>
    </row>
    <row r="51" spans="1:13" ht="15.75" x14ac:dyDescent="0.25">
      <c r="A51" s="35">
        <v>2</v>
      </c>
      <c r="B51" s="35">
        <v>1</v>
      </c>
      <c r="C51" s="41">
        <v>5</v>
      </c>
      <c r="D51" s="35">
        <v>3</v>
      </c>
      <c r="E51" s="35"/>
      <c r="F51" s="68" t="s">
        <v>37</v>
      </c>
      <c r="G51" s="66">
        <v>162908</v>
      </c>
      <c r="H51" s="54">
        <v>13030.65</v>
      </c>
      <c r="I51" s="54">
        <f>+G51-H51</f>
        <v>149877.35</v>
      </c>
      <c r="J51" s="54">
        <v>13575.61</v>
      </c>
      <c r="K51" s="133">
        <f>+H51+J51</f>
        <v>26606.260000000002</v>
      </c>
      <c r="L51" s="138">
        <f>+G51-K51</f>
        <v>136301.74</v>
      </c>
      <c r="M51" s="11"/>
    </row>
    <row r="52" spans="1:13" ht="15.75" x14ac:dyDescent="0.25">
      <c r="A52" s="35"/>
      <c r="B52" s="35"/>
      <c r="C52" s="41"/>
      <c r="D52" s="35"/>
      <c r="E52" s="35"/>
      <c r="F52" s="68"/>
      <c r="G52" s="66"/>
      <c r="H52" s="54"/>
      <c r="I52" s="54"/>
      <c r="J52" s="54"/>
      <c r="K52" s="133"/>
      <c r="L52" s="54"/>
      <c r="M52" s="11"/>
    </row>
    <row r="53" spans="1:13" ht="16.5" thickBot="1" x14ac:dyDescent="0.3">
      <c r="A53" s="35">
        <v>2</v>
      </c>
      <c r="B53" s="35">
        <v>2</v>
      </c>
      <c r="C53" s="41"/>
      <c r="D53" s="35"/>
      <c r="E53" s="42"/>
      <c r="F53" s="111" t="s">
        <v>38</v>
      </c>
      <c r="G53" s="93">
        <f>G54+G62+G66+G70+G74+G86+G94+G82+G110</f>
        <v>54583728</v>
      </c>
      <c r="H53" s="50">
        <f>H54+H62+H66+H70+H74+H86+H94+H82+H110</f>
        <v>2296409.2599999998</v>
      </c>
      <c r="I53" s="50">
        <f t="shared" ref="I53:L53" si="18">I54+I62+I66+I70+I74+I86+I94+I82+I110</f>
        <v>52287318.740000002</v>
      </c>
      <c r="J53" s="50">
        <f t="shared" si="18"/>
        <v>3608786.8299999996</v>
      </c>
      <c r="K53" s="50">
        <f t="shared" si="18"/>
        <v>5905196.0900000008</v>
      </c>
      <c r="L53" s="50">
        <f t="shared" si="18"/>
        <v>48678531.909999996</v>
      </c>
      <c r="M53" s="11"/>
    </row>
    <row r="54" spans="1:13" ht="16.5" thickBot="1" x14ac:dyDescent="0.3">
      <c r="A54" s="35">
        <v>2</v>
      </c>
      <c r="B54" s="35">
        <v>2</v>
      </c>
      <c r="C54" s="41">
        <v>1</v>
      </c>
      <c r="D54" s="35"/>
      <c r="E54" s="42"/>
      <c r="F54" s="111" t="s">
        <v>39</v>
      </c>
      <c r="G54" s="94">
        <f>G55+G56+G57+G59</f>
        <v>4004099</v>
      </c>
      <c r="H54" s="44">
        <f>H55+H56+H57+H59</f>
        <v>149842.91999999998</v>
      </c>
      <c r="I54" s="44">
        <f t="shared" ref="I54:J54" si="19">I55+I56+I57+I59</f>
        <v>3854256.08</v>
      </c>
      <c r="J54" s="44">
        <f t="shared" si="19"/>
        <v>152663.82</v>
      </c>
      <c r="K54" s="44">
        <f>K55+K56+K57+K59</f>
        <v>302506.74</v>
      </c>
      <c r="L54" s="44">
        <f t="shared" ref="L54" si="20">L55+L56+L57+L59</f>
        <v>3701592.2600000002</v>
      </c>
      <c r="M54" s="11"/>
    </row>
    <row r="55" spans="1:13" ht="15.75" x14ac:dyDescent="0.25">
      <c r="A55" s="35">
        <v>2</v>
      </c>
      <c r="B55" s="35">
        <v>2</v>
      </c>
      <c r="C55" s="41">
        <v>1</v>
      </c>
      <c r="D55" s="35">
        <v>3</v>
      </c>
      <c r="E55" s="35"/>
      <c r="F55" s="112" t="s">
        <v>40</v>
      </c>
      <c r="G55" s="105">
        <v>420000</v>
      </c>
      <c r="H55" s="53">
        <f>37681.08+22223.64</f>
        <v>59904.72</v>
      </c>
      <c r="I55" s="53">
        <f>+G55-H55</f>
        <v>360095.28</v>
      </c>
      <c r="J55" s="53">
        <f>37862.5+22342.8</f>
        <v>60205.3</v>
      </c>
      <c r="K55" s="131">
        <f>+H55+J55</f>
        <v>120110.02</v>
      </c>
      <c r="L55" s="137">
        <f>+G55-K55</f>
        <v>299889.98</v>
      </c>
      <c r="M55" s="11"/>
    </row>
    <row r="56" spans="1:13" ht="15.75" x14ac:dyDescent="0.25">
      <c r="A56" s="35">
        <v>2</v>
      </c>
      <c r="B56" s="35">
        <v>2</v>
      </c>
      <c r="C56" s="41">
        <v>1</v>
      </c>
      <c r="D56" s="35">
        <v>4</v>
      </c>
      <c r="E56" s="35"/>
      <c r="F56" s="112" t="s">
        <v>41</v>
      </c>
      <c r="G56" s="66">
        <v>288000</v>
      </c>
      <c r="H56" s="54"/>
      <c r="I56" s="54">
        <f>+G56-H56</f>
        <v>288000</v>
      </c>
      <c r="J56" s="54"/>
      <c r="K56" s="133">
        <f>+H56+J56</f>
        <v>0</v>
      </c>
      <c r="L56" s="54">
        <f>+G56-K56</f>
        <v>288000</v>
      </c>
      <c r="M56" s="11"/>
    </row>
    <row r="57" spans="1:13" ht="31.5" x14ac:dyDescent="0.25">
      <c r="A57" s="35">
        <v>2</v>
      </c>
      <c r="B57" s="35">
        <v>2</v>
      </c>
      <c r="C57" s="41">
        <v>1</v>
      </c>
      <c r="D57" s="35">
        <v>5</v>
      </c>
      <c r="E57" s="35"/>
      <c r="F57" s="112" t="s">
        <v>42</v>
      </c>
      <c r="G57" s="66">
        <v>2336099</v>
      </c>
      <c r="H57" s="54">
        <f>22765.76+8008.44</f>
        <v>30774.199999999997</v>
      </c>
      <c r="I57" s="54">
        <f>+G57-H57</f>
        <v>2305324.7999999998</v>
      </c>
      <c r="J57" s="54">
        <f>8047+22803.1</f>
        <v>30850.1</v>
      </c>
      <c r="K57" s="133">
        <f>+H57+J57</f>
        <v>61624.299999999996</v>
      </c>
      <c r="L57" s="54">
        <f>+G57-K57</f>
        <v>2274474.7000000002</v>
      </c>
      <c r="M57" s="11"/>
    </row>
    <row r="58" spans="1:13" ht="15.75" x14ac:dyDescent="0.25">
      <c r="A58" s="35"/>
      <c r="B58" s="35"/>
      <c r="C58" s="41"/>
      <c r="D58" s="35"/>
      <c r="E58" s="35"/>
      <c r="F58" s="112"/>
      <c r="G58" s="66"/>
      <c r="H58" s="54"/>
      <c r="I58" s="54"/>
      <c r="J58" s="54"/>
      <c r="K58" s="133"/>
      <c r="L58" s="54"/>
      <c r="M58" s="11"/>
    </row>
    <row r="59" spans="1:13" ht="16.5" thickBot="1" x14ac:dyDescent="0.3">
      <c r="A59" s="35">
        <v>2</v>
      </c>
      <c r="B59" s="35">
        <v>2</v>
      </c>
      <c r="C59" s="41">
        <v>1</v>
      </c>
      <c r="D59" s="35">
        <v>6</v>
      </c>
      <c r="E59" s="35"/>
      <c r="F59" s="69" t="s">
        <v>43</v>
      </c>
      <c r="G59" s="93">
        <f>G60</f>
        <v>960000</v>
      </c>
      <c r="H59" s="60">
        <f>H60</f>
        <v>59164</v>
      </c>
      <c r="I59" s="60">
        <f t="shared" ref="I59:K59" si="21">I60</f>
        <v>900836</v>
      </c>
      <c r="J59" s="60">
        <f t="shared" si="21"/>
        <v>61608.42</v>
      </c>
      <c r="K59" s="60">
        <f t="shared" si="21"/>
        <v>120772.42</v>
      </c>
      <c r="L59" s="60">
        <f>L60</f>
        <v>839227.58</v>
      </c>
      <c r="M59" s="11"/>
    </row>
    <row r="60" spans="1:13" ht="15.75" x14ac:dyDescent="0.25">
      <c r="A60" s="35">
        <v>2</v>
      </c>
      <c r="B60" s="35">
        <v>2</v>
      </c>
      <c r="C60" s="41">
        <v>1</v>
      </c>
      <c r="D60" s="35">
        <v>6</v>
      </c>
      <c r="E60" s="35">
        <v>1</v>
      </c>
      <c r="F60" s="112" t="s">
        <v>44</v>
      </c>
      <c r="G60" s="105">
        <v>960000</v>
      </c>
      <c r="H60" s="54">
        <v>59164</v>
      </c>
      <c r="I60" s="54">
        <f>+G60-H60</f>
        <v>900836</v>
      </c>
      <c r="J60" s="54">
        <v>61608.42</v>
      </c>
      <c r="K60" s="133">
        <f>+H60+J60</f>
        <v>120772.42</v>
      </c>
      <c r="L60" s="54">
        <f>+G60-K60</f>
        <v>839227.58</v>
      </c>
      <c r="M60" s="11"/>
    </row>
    <row r="61" spans="1:13" ht="15.75" x14ac:dyDescent="0.25">
      <c r="A61" s="35"/>
      <c r="B61" s="35"/>
      <c r="C61" s="41"/>
      <c r="D61" s="35"/>
      <c r="E61" s="35"/>
      <c r="F61" s="112"/>
      <c r="G61" s="66"/>
      <c r="H61" s="54"/>
      <c r="I61" s="54"/>
      <c r="J61" s="54"/>
      <c r="K61" s="133"/>
      <c r="L61" s="54"/>
      <c r="M61" s="11"/>
    </row>
    <row r="62" spans="1:13" ht="32.25" thickBot="1" x14ac:dyDescent="0.3">
      <c r="A62" s="35">
        <v>2</v>
      </c>
      <c r="B62" s="35">
        <v>2</v>
      </c>
      <c r="C62" s="41">
        <v>2</v>
      </c>
      <c r="D62" s="35"/>
      <c r="E62" s="35"/>
      <c r="F62" s="69" t="s">
        <v>45</v>
      </c>
      <c r="G62" s="93">
        <f>SUM(G63:G64)</f>
        <v>3641500</v>
      </c>
      <c r="H62" s="44">
        <f>H63+H64</f>
        <v>4810</v>
      </c>
      <c r="I62" s="44">
        <f t="shared" ref="I62:L62" si="22">I63+I64</f>
        <v>3636690</v>
      </c>
      <c r="J62" s="44">
        <f t="shared" si="22"/>
        <v>204650</v>
      </c>
      <c r="K62" s="44">
        <f t="shared" si="22"/>
        <v>209460</v>
      </c>
      <c r="L62" s="44">
        <f t="shared" si="22"/>
        <v>3432040</v>
      </c>
      <c r="M62" s="11"/>
    </row>
    <row r="63" spans="1:13" ht="15.75" x14ac:dyDescent="0.25">
      <c r="A63" s="35">
        <v>2</v>
      </c>
      <c r="B63" s="35">
        <v>2</v>
      </c>
      <c r="C63" s="41">
        <v>2</v>
      </c>
      <c r="D63" s="35">
        <v>1</v>
      </c>
      <c r="E63" s="35"/>
      <c r="F63" s="68" t="s">
        <v>46</v>
      </c>
      <c r="G63" s="105">
        <v>1075500</v>
      </c>
      <c r="H63" s="53">
        <f>3100</f>
        <v>3100</v>
      </c>
      <c r="I63" s="53">
        <f>+G63-H63</f>
        <v>1072400</v>
      </c>
      <c r="J63" s="53">
        <v>195000</v>
      </c>
      <c r="K63" s="131">
        <f>+H63+J63</f>
        <v>198100</v>
      </c>
      <c r="L63" s="139">
        <f>+G63-K63</f>
        <v>877400</v>
      </c>
      <c r="M63" s="11"/>
    </row>
    <row r="64" spans="1:13" ht="15.75" x14ac:dyDescent="0.25">
      <c r="A64" s="35">
        <v>2</v>
      </c>
      <c r="B64" s="35">
        <v>2</v>
      </c>
      <c r="C64" s="41">
        <v>2</v>
      </c>
      <c r="D64" s="35">
        <v>2</v>
      </c>
      <c r="E64" s="35"/>
      <c r="F64" s="68" t="s">
        <v>47</v>
      </c>
      <c r="G64" s="66">
        <v>2566000</v>
      </c>
      <c r="H64" s="54">
        <v>1710</v>
      </c>
      <c r="I64" s="54">
        <f>+G64-H64</f>
        <v>2564290</v>
      </c>
      <c r="J64" s="54">
        <f>7470+2180</f>
        <v>9650</v>
      </c>
      <c r="K64" s="133">
        <f>+H64+J64</f>
        <v>11360</v>
      </c>
      <c r="L64" s="130">
        <f>+G64-K64</f>
        <v>2554640</v>
      </c>
      <c r="M64" s="11"/>
    </row>
    <row r="65" spans="1:13" ht="15.75" x14ac:dyDescent="0.25">
      <c r="A65" s="35"/>
      <c r="B65" s="35"/>
      <c r="C65" s="41"/>
      <c r="D65" s="35"/>
      <c r="E65" s="35"/>
      <c r="F65" s="112"/>
      <c r="G65" s="66"/>
      <c r="H65" s="54"/>
      <c r="I65" s="54"/>
      <c r="J65" s="54"/>
      <c r="K65" s="133"/>
      <c r="L65" s="130"/>
      <c r="M65" s="11"/>
    </row>
    <row r="66" spans="1:13" ht="16.5" thickBot="1" x14ac:dyDescent="0.3">
      <c r="A66" s="35">
        <v>2</v>
      </c>
      <c r="B66" s="35">
        <v>2</v>
      </c>
      <c r="C66" s="41">
        <v>3</v>
      </c>
      <c r="D66" s="35"/>
      <c r="E66" s="35"/>
      <c r="F66" s="69" t="s">
        <v>48</v>
      </c>
      <c r="G66" s="93">
        <f>G67+G68</f>
        <v>729590</v>
      </c>
      <c r="H66" s="50">
        <f>H67+H68</f>
        <v>11400</v>
      </c>
      <c r="I66" s="50">
        <f t="shared" ref="I66:K66" si="23">I67+I68</f>
        <v>718190</v>
      </c>
      <c r="J66" s="50">
        <f t="shared" si="23"/>
        <v>20000</v>
      </c>
      <c r="K66" s="50">
        <f t="shared" si="23"/>
        <v>31400</v>
      </c>
      <c r="L66" s="140">
        <f>L67+L68</f>
        <v>698190</v>
      </c>
      <c r="M66" s="11"/>
    </row>
    <row r="67" spans="1:13" ht="15.75" x14ac:dyDescent="0.25">
      <c r="A67" s="35">
        <v>2</v>
      </c>
      <c r="B67" s="35">
        <v>2</v>
      </c>
      <c r="C67" s="41">
        <v>3</v>
      </c>
      <c r="D67" s="35">
        <v>1</v>
      </c>
      <c r="E67" s="62"/>
      <c r="F67" s="68" t="s">
        <v>49</v>
      </c>
      <c r="G67" s="105">
        <v>200000</v>
      </c>
      <c r="H67" s="48">
        <f>1500+2800+2800+2800+1500</f>
        <v>11400</v>
      </c>
      <c r="I67" s="48">
        <f>+G67-H67</f>
        <v>188600</v>
      </c>
      <c r="J67" s="48">
        <v>20000</v>
      </c>
      <c r="K67" s="141">
        <f>+H67+J67</f>
        <v>31400</v>
      </c>
      <c r="L67" s="48">
        <f>+G67-K67</f>
        <v>168600</v>
      </c>
      <c r="M67" s="11"/>
    </row>
    <row r="68" spans="1:13" ht="15.75" x14ac:dyDescent="0.25">
      <c r="A68" s="35">
        <v>2</v>
      </c>
      <c r="B68" s="35">
        <v>2</v>
      </c>
      <c r="C68" s="41">
        <v>3</v>
      </c>
      <c r="D68" s="35">
        <v>2</v>
      </c>
      <c r="E68" s="62"/>
      <c r="F68" s="68" t="s">
        <v>50</v>
      </c>
      <c r="G68" s="66">
        <v>529590</v>
      </c>
      <c r="H68" s="54"/>
      <c r="I68" s="54">
        <f>+G68-H68</f>
        <v>529590</v>
      </c>
      <c r="J68" s="54"/>
      <c r="K68" s="133">
        <f>+H68+J68</f>
        <v>0</v>
      </c>
      <c r="L68" s="54">
        <f>+G68-K68</f>
        <v>529590</v>
      </c>
      <c r="M68" s="11"/>
    </row>
    <row r="69" spans="1:13" ht="15.75" x14ac:dyDescent="0.25">
      <c r="A69" s="35"/>
      <c r="B69" s="35"/>
      <c r="C69" s="41"/>
      <c r="D69" s="35"/>
      <c r="E69" s="35"/>
      <c r="F69" s="68"/>
      <c r="G69" s="66"/>
      <c r="H69" s="54"/>
      <c r="I69" s="54"/>
      <c r="J69" s="54"/>
      <c r="K69" s="133"/>
      <c r="L69" s="54"/>
      <c r="M69" s="11"/>
    </row>
    <row r="70" spans="1:13" ht="16.5" thickBot="1" x14ac:dyDescent="0.3">
      <c r="A70" s="35">
        <v>2</v>
      </c>
      <c r="B70" s="35">
        <v>2</v>
      </c>
      <c r="C70" s="41">
        <v>4</v>
      </c>
      <c r="D70" s="35"/>
      <c r="E70" s="35"/>
      <c r="F70" s="69" t="s">
        <v>51</v>
      </c>
      <c r="G70" s="93">
        <f>G71+G72</f>
        <v>523000</v>
      </c>
      <c r="H70" s="50">
        <f>H71+H72</f>
        <v>2000</v>
      </c>
      <c r="I70" s="50">
        <f t="shared" ref="I70:K70" si="24">I71+I72</f>
        <v>521000</v>
      </c>
      <c r="J70" s="50">
        <f t="shared" si="24"/>
        <v>35296.089999999997</v>
      </c>
      <c r="K70" s="50">
        <f t="shared" si="24"/>
        <v>37296.089999999997</v>
      </c>
      <c r="L70" s="50">
        <f>L71+L72</f>
        <v>485703.91000000003</v>
      </c>
      <c r="M70" s="11"/>
    </row>
    <row r="71" spans="1:13" ht="15.75" x14ac:dyDescent="0.25">
      <c r="A71" s="35">
        <v>2</v>
      </c>
      <c r="B71" s="35">
        <v>2</v>
      </c>
      <c r="C71" s="41">
        <v>4</v>
      </c>
      <c r="D71" s="35">
        <v>1</v>
      </c>
      <c r="E71" s="35"/>
      <c r="F71" s="68" t="s">
        <v>52</v>
      </c>
      <c r="G71" s="105">
        <v>523000</v>
      </c>
      <c r="H71" s="54">
        <f>450+500+500+550</f>
        <v>2000</v>
      </c>
      <c r="I71" s="54">
        <f>+G71-H71</f>
        <v>521000</v>
      </c>
      <c r="J71" s="54">
        <f>8346.09+600+350+2000+24000</f>
        <v>35296.089999999997</v>
      </c>
      <c r="K71" s="133">
        <f>+H71+J71</f>
        <v>37296.089999999997</v>
      </c>
      <c r="L71" s="54">
        <f>+G71-K71</f>
        <v>485703.91000000003</v>
      </c>
      <c r="M71" s="11">
        <f>+J71-35296.09</f>
        <v>0</v>
      </c>
    </row>
    <row r="72" spans="1:13" ht="15.75" x14ac:dyDescent="0.25">
      <c r="A72" s="35">
        <v>2</v>
      </c>
      <c r="B72" s="35">
        <v>2</v>
      </c>
      <c r="C72" s="41">
        <v>4</v>
      </c>
      <c r="D72" s="35">
        <v>3</v>
      </c>
      <c r="E72" s="35"/>
      <c r="F72" s="68" t="s">
        <v>53</v>
      </c>
      <c r="G72" s="66"/>
      <c r="H72" s="54"/>
      <c r="I72" s="54"/>
      <c r="J72" s="54"/>
      <c r="K72" s="133">
        <f>+H72+J72</f>
        <v>0</v>
      </c>
      <c r="L72" s="54">
        <f>+G72-K72</f>
        <v>0</v>
      </c>
      <c r="M72" s="11"/>
    </row>
    <row r="73" spans="1:13" ht="15.75" x14ac:dyDescent="0.25">
      <c r="A73" s="35"/>
      <c r="B73" s="35"/>
      <c r="C73" s="41"/>
      <c r="D73" s="35"/>
      <c r="E73" s="35"/>
      <c r="F73" s="68"/>
      <c r="G73" s="66"/>
      <c r="H73" s="54"/>
      <c r="I73" s="54"/>
      <c r="J73" s="54"/>
      <c r="K73" s="133"/>
      <c r="L73" s="54"/>
      <c r="M73" s="11"/>
    </row>
    <row r="74" spans="1:13" ht="16.5" thickBot="1" x14ac:dyDescent="0.3">
      <c r="A74" s="35">
        <v>2</v>
      </c>
      <c r="B74" s="35">
        <v>2</v>
      </c>
      <c r="C74" s="41">
        <v>5</v>
      </c>
      <c r="D74" s="35"/>
      <c r="E74" s="35"/>
      <c r="F74" s="69" t="s">
        <v>54</v>
      </c>
      <c r="G74" s="93">
        <f>G75+G80</f>
        <v>11463016</v>
      </c>
      <c r="H74" s="44">
        <f>H77+H75</f>
        <v>901172.12</v>
      </c>
      <c r="I74" s="44">
        <f t="shared" ref="I74:L74" si="25">I77+I75</f>
        <v>10561843.880000001</v>
      </c>
      <c r="J74" s="44">
        <f t="shared" si="25"/>
        <v>899520.22</v>
      </c>
      <c r="K74" s="44">
        <f t="shared" si="25"/>
        <v>1800692.3399999999</v>
      </c>
      <c r="L74" s="44">
        <f t="shared" si="25"/>
        <v>9662323.6600000001</v>
      </c>
      <c r="M74" s="11"/>
    </row>
    <row r="75" spans="1:13" ht="31.5" x14ac:dyDescent="0.25">
      <c r="A75" s="35">
        <v>2</v>
      </c>
      <c r="B75" s="35">
        <v>2</v>
      </c>
      <c r="C75" s="41">
        <v>5</v>
      </c>
      <c r="D75" s="35">
        <v>1</v>
      </c>
      <c r="E75" s="35"/>
      <c r="F75" s="112" t="s">
        <v>55</v>
      </c>
      <c r="G75" s="105">
        <v>11107423</v>
      </c>
      <c r="H75" s="53">
        <f>874357.27+18554.85</f>
        <v>892912.12</v>
      </c>
      <c r="I75" s="53">
        <f>+G75-H75</f>
        <v>10214510.880000001</v>
      </c>
      <c r="J75" s="53">
        <f>18520.51+872739.71</f>
        <v>891260.22</v>
      </c>
      <c r="K75" s="131">
        <f>+H75+J75</f>
        <v>1784172.3399999999</v>
      </c>
      <c r="L75" s="53">
        <f>+G75-K75</f>
        <v>9323250.6600000001</v>
      </c>
      <c r="M75" s="11"/>
    </row>
    <row r="76" spans="1:13" ht="15.75" x14ac:dyDescent="0.25">
      <c r="A76" s="35"/>
      <c r="B76" s="35"/>
      <c r="C76" s="41"/>
      <c r="D76" s="35"/>
      <c r="E76" s="62"/>
      <c r="F76" s="68"/>
      <c r="G76" s="66"/>
      <c r="H76" s="54"/>
      <c r="I76" s="54"/>
      <c r="J76" s="54"/>
      <c r="K76" s="133"/>
      <c r="L76" s="54"/>
      <c r="M76" s="11"/>
    </row>
    <row r="77" spans="1:13" ht="32.25" thickBot="1" x14ac:dyDescent="0.3">
      <c r="A77" s="35">
        <v>2</v>
      </c>
      <c r="B77" s="35">
        <v>2</v>
      </c>
      <c r="C77" s="41">
        <v>5</v>
      </c>
      <c r="D77" s="35">
        <v>3</v>
      </c>
      <c r="E77" s="42"/>
      <c r="F77" s="69" t="s">
        <v>56</v>
      </c>
      <c r="G77" s="93">
        <f>G78+G79+G80</f>
        <v>355593</v>
      </c>
      <c r="H77" s="50">
        <f>H78+H79+H80</f>
        <v>8260</v>
      </c>
      <c r="I77" s="50">
        <f t="shared" ref="I77:L77" si="26">I78+I79+I80</f>
        <v>347333</v>
      </c>
      <c r="J77" s="50">
        <f t="shared" si="26"/>
        <v>8260</v>
      </c>
      <c r="K77" s="50">
        <f t="shared" si="26"/>
        <v>16520</v>
      </c>
      <c r="L77" s="50">
        <f t="shared" si="26"/>
        <v>339073</v>
      </c>
      <c r="M77" s="11"/>
    </row>
    <row r="78" spans="1:13" ht="15.75" x14ac:dyDescent="0.25">
      <c r="A78" s="35">
        <v>2</v>
      </c>
      <c r="B78" s="35">
        <v>2</v>
      </c>
      <c r="C78" s="41">
        <v>5</v>
      </c>
      <c r="D78" s="35">
        <v>3</v>
      </c>
      <c r="E78" s="35">
        <v>2</v>
      </c>
      <c r="F78" s="112" t="s">
        <v>57</v>
      </c>
      <c r="G78" s="105"/>
      <c r="H78" s="54">
        <v>0</v>
      </c>
      <c r="I78" s="54">
        <f>+G78-H78</f>
        <v>0</v>
      </c>
      <c r="J78" s="54">
        <v>0</v>
      </c>
      <c r="K78" s="133">
        <f>+H78+J78</f>
        <v>0</v>
      </c>
      <c r="L78" s="54">
        <f>+G78-K78</f>
        <v>0</v>
      </c>
      <c r="M78" s="11"/>
    </row>
    <row r="79" spans="1:13" s="10" customFormat="1" ht="15.75" x14ac:dyDescent="0.25">
      <c r="A79" s="35">
        <v>2</v>
      </c>
      <c r="B79" s="35">
        <v>2</v>
      </c>
      <c r="C79" s="41">
        <v>5</v>
      </c>
      <c r="D79" s="35">
        <v>3</v>
      </c>
      <c r="E79" s="35">
        <v>3</v>
      </c>
      <c r="F79" s="112" t="s">
        <v>58</v>
      </c>
      <c r="G79" s="66"/>
      <c r="H79" s="54"/>
      <c r="I79" s="54">
        <f>+G79-H79</f>
        <v>0</v>
      </c>
      <c r="J79" s="54"/>
      <c r="K79" s="133">
        <f>+H79+J79</f>
        <v>0</v>
      </c>
      <c r="L79" s="54">
        <f>+G79-K79</f>
        <v>0</v>
      </c>
      <c r="M79" s="142"/>
    </row>
    <row r="80" spans="1:13" ht="31.5" x14ac:dyDescent="0.25">
      <c r="A80" s="35">
        <v>2</v>
      </c>
      <c r="B80" s="35">
        <v>2</v>
      </c>
      <c r="C80" s="41">
        <v>5</v>
      </c>
      <c r="D80" s="35">
        <v>3</v>
      </c>
      <c r="E80" s="35">
        <v>4</v>
      </c>
      <c r="F80" s="112" t="s">
        <v>59</v>
      </c>
      <c r="G80" s="66">
        <v>355593</v>
      </c>
      <c r="H80" s="54">
        <v>8260</v>
      </c>
      <c r="I80" s="54">
        <f>+G80-H80</f>
        <v>347333</v>
      </c>
      <c r="J80" s="54">
        <v>8260</v>
      </c>
      <c r="K80" s="133">
        <f>+H80+J80</f>
        <v>16520</v>
      </c>
      <c r="L80" s="54">
        <f>+G80-K80</f>
        <v>339073</v>
      </c>
      <c r="M80" s="11"/>
    </row>
    <row r="81" spans="1:13" ht="16.5" thickBot="1" x14ac:dyDescent="0.3">
      <c r="A81" s="35"/>
      <c r="B81" s="35"/>
      <c r="C81" s="41"/>
      <c r="D81" s="35"/>
      <c r="E81" s="35"/>
      <c r="F81" s="112"/>
      <c r="G81" s="66"/>
      <c r="H81" s="54"/>
      <c r="I81" s="54"/>
      <c r="J81" s="54"/>
      <c r="K81" s="133"/>
      <c r="L81" s="54"/>
      <c r="M81" s="11"/>
    </row>
    <row r="82" spans="1:13" ht="16.5" thickBot="1" x14ac:dyDescent="0.3">
      <c r="A82" s="35">
        <v>2</v>
      </c>
      <c r="B82" s="35">
        <v>2</v>
      </c>
      <c r="C82" s="41">
        <v>6</v>
      </c>
      <c r="D82" s="35"/>
      <c r="E82" s="35"/>
      <c r="F82" s="112" t="s">
        <v>60</v>
      </c>
      <c r="G82" s="94">
        <f>G84+G83</f>
        <v>2843017</v>
      </c>
      <c r="H82" s="57">
        <f>H84+H83</f>
        <v>163219.78</v>
      </c>
      <c r="I82" s="57">
        <f t="shared" ref="I82:J82" si="27">I84+I83</f>
        <v>2679797.2200000002</v>
      </c>
      <c r="J82" s="57">
        <f t="shared" si="27"/>
        <v>272836.56</v>
      </c>
      <c r="K82" s="57">
        <f>K84+K83</f>
        <v>436056.33999999997</v>
      </c>
      <c r="L82" s="57">
        <f>L84+L83</f>
        <v>2406960.66</v>
      </c>
      <c r="M82" s="11"/>
    </row>
    <row r="83" spans="1:13" ht="16.5" thickBot="1" x14ac:dyDescent="0.3">
      <c r="A83" s="63">
        <v>2</v>
      </c>
      <c r="B83" s="63">
        <v>2</v>
      </c>
      <c r="C83" s="64">
        <v>6</v>
      </c>
      <c r="D83" s="63">
        <v>2</v>
      </c>
      <c r="E83" s="63">
        <v>1</v>
      </c>
      <c r="F83" s="113" t="s">
        <v>61</v>
      </c>
      <c r="G83" s="65">
        <v>203017</v>
      </c>
      <c r="H83" s="65"/>
      <c r="I83" s="65">
        <v>203017</v>
      </c>
      <c r="J83" s="65">
        <f>19433.49+17052+40924.8+21116.22</f>
        <v>98526.510000000009</v>
      </c>
      <c r="K83" s="65">
        <f>+H83+J83</f>
        <v>98526.510000000009</v>
      </c>
      <c r="L83" s="65">
        <f>+G83-K83</f>
        <v>104490.48999999999</v>
      </c>
      <c r="M83" s="11"/>
    </row>
    <row r="84" spans="1:13" ht="15.75" x14ac:dyDescent="0.25">
      <c r="A84" s="35">
        <v>2</v>
      </c>
      <c r="B84" s="35">
        <v>2</v>
      </c>
      <c r="C84" s="41">
        <v>6</v>
      </c>
      <c r="D84" s="35">
        <v>3</v>
      </c>
      <c r="E84" s="35">
        <v>1</v>
      </c>
      <c r="F84" s="112" t="s">
        <v>62</v>
      </c>
      <c r="G84" s="66">
        <v>2640000</v>
      </c>
      <c r="H84" s="54">
        <v>163219.78</v>
      </c>
      <c r="I84" s="54">
        <f>+G84-H84</f>
        <v>2476780.2200000002</v>
      </c>
      <c r="J84" s="54">
        <f>174310.05</f>
        <v>174310.05</v>
      </c>
      <c r="K84" s="133">
        <f>+H84+J84</f>
        <v>337529.82999999996</v>
      </c>
      <c r="L84" s="54">
        <f>+G84-K84</f>
        <v>2302470.17</v>
      </c>
      <c r="M84" s="11"/>
    </row>
    <row r="85" spans="1:13" ht="15.75" x14ac:dyDescent="0.25">
      <c r="A85" s="35"/>
      <c r="B85" s="35"/>
      <c r="C85" s="41"/>
      <c r="D85" s="35"/>
      <c r="E85" s="35"/>
      <c r="F85" s="112"/>
      <c r="G85" s="66"/>
      <c r="H85" s="54">
        <v>0</v>
      </c>
      <c r="I85" s="54">
        <v>0</v>
      </c>
      <c r="J85" s="54">
        <v>0</v>
      </c>
      <c r="K85" s="133"/>
      <c r="L85" s="54">
        <v>0</v>
      </c>
      <c r="M85" s="11"/>
    </row>
    <row r="86" spans="1:13" ht="32.25" thickBot="1" x14ac:dyDescent="0.3">
      <c r="A86" s="35">
        <v>2</v>
      </c>
      <c r="B86" s="35">
        <v>2</v>
      </c>
      <c r="C86" s="41">
        <v>7</v>
      </c>
      <c r="D86" s="35"/>
      <c r="E86" s="42"/>
      <c r="F86" s="69" t="s">
        <v>63</v>
      </c>
      <c r="G86" s="95">
        <f>G87</f>
        <v>398000</v>
      </c>
      <c r="H86" s="44">
        <f>SUM(H88:H92)</f>
        <v>4400</v>
      </c>
      <c r="I86" s="44">
        <f t="shared" ref="I86:L86" si="28">SUM(I88:I92)</f>
        <v>393600</v>
      </c>
      <c r="J86" s="44">
        <f t="shared" si="28"/>
        <v>2800</v>
      </c>
      <c r="K86" s="44">
        <f t="shared" si="28"/>
        <v>7200</v>
      </c>
      <c r="L86" s="44">
        <f t="shared" si="28"/>
        <v>390800</v>
      </c>
      <c r="M86" s="11"/>
    </row>
    <row r="87" spans="1:13" ht="32.25" thickBot="1" x14ac:dyDescent="0.3">
      <c r="A87" s="35">
        <v>2</v>
      </c>
      <c r="B87" s="35">
        <v>2</v>
      </c>
      <c r="C87" s="41">
        <v>7</v>
      </c>
      <c r="D87" s="35">
        <v>2</v>
      </c>
      <c r="E87" s="42"/>
      <c r="F87" s="69" t="s">
        <v>64</v>
      </c>
      <c r="G87" s="94">
        <f>SUM(G89:G92)</f>
        <v>398000</v>
      </c>
      <c r="H87" s="94">
        <f>SUM(H88:H92)</f>
        <v>4400</v>
      </c>
      <c r="I87" s="94">
        <f t="shared" ref="I87:K87" si="29">SUM(I88:I92)</f>
        <v>393600</v>
      </c>
      <c r="J87" s="94">
        <f t="shared" si="29"/>
        <v>2800</v>
      </c>
      <c r="K87" s="94">
        <f t="shared" si="29"/>
        <v>7200</v>
      </c>
      <c r="L87" s="94">
        <f>SUM(L88:L92)</f>
        <v>390800</v>
      </c>
      <c r="M87" s="11"/>
    </row>
    <row r="88" spans="1:13" ht="31.5" x14ac:dyDescent="0.25">
      <c r="A88" s="35">
        <v>2</v>
      </c>
      <c r="B88" s="35">
        <v>2</v>
      </c>
      <c r="C88" s="41">
        <v>7</v>
      </c>
      <c r="D88" s="35">
        <v>1</v>
      </c>
      <c r="E88" s="62">
        <v>2</v>
      </c>
      <c r="F88" s="114" t="s">
        <v>65</v>
      </c>
      <c r="G88" s="95"/>
      <c r="H88" s="95"/>
      <c r="I88" s="95">
        <f>+G88-H88</f>
        <v>0</v>
      </c>
      <c r="J88" s="95"/>
      <c r="K88" s="134">
        <f>+H88+J88</f>
        <v>0</v>
      </c>
      <c r="L88" s="66">
        <f>+G89-K88</f>
        <v>80000</v>
      </c>
      <c r="M88" s="11"/>
    </row>
    <row r="89" spans="1:13" ht="31.5" x14ac:dyDescent="0.25">
      <c r="A89" s="35">
        <v>2</v>
      </c>
      <c r="B89" s="35">
        <v>2</v>
      </c>
      <c r="C89" s="41">
        <v>7</v>
      </c>
      <c r="D89" s="35">
        <v>2</v>
      </c>
      <c r="E89" s="62">
        <v>2</v>
      </c>
      <c r="F89" s="114" t="s">
        <v>66</v>
      </c>
      <c r="G89" s="66">
        <v>80000</v>
      </c>
      <c r="H89" s="54">
        <v>0</v>
      </c>
      <c r="I89" s="54">
        <f>+G89-H89</f>
        <v>80000</v>
      </c>
      <c r="J89" s="54">
        <v>0</v>
      </c>
      <c r="K89" s="134">
        <f>+H89+J89</f>
        <v>0</v>
      </c>
      <c r="L89" s="66">
        <f>+G90-K89</f>
        <v>0</v>
      </c>
      <c r="M89" s="11"/>
    </row>
    <row r="90" spans="1:13" ht="31.5" x14ac:dyDescent="0.25">
      <c r="A90" s="35">
        <v>2</v>
      </c>
      <c r="B90" s="35">
        <v>2</v>
      </c>
      <c r="C90" s="41">
        <v>7</v>
      </c>
      <c r="D90" s="35">
        <v>2</v>
      </c>
      <c r="E90" s="62">
        <v>3</v>
      </c>
      <c r="F90" s="114" t="s">
        <v>67</v>
      </c>
      <c r="G90" s="66"/>
      <c r="H90" s="54">
        <f>G90*12</f>
        <v>0</v>
      </c>
      <c r="I90" s="54">
        <f>+G90-H90</f>
        <v>0</v>
      </c>
      <c r="J90" s="54">
        <f>I90*12</f>
        <v>0</v>
      </c>
      <c r="K90" s="134">
        <f t="shared" ref="K90:K91" si="30">+H90+J90</f>
        <v>0</v>
      </c>
      <c r="L90" s="66">
        <f>+G90-K90</f>
        <v>0</v>
      </c>
      <c r="M90" s="11"/>
    </row>
    <row r="91" spans="1:13" ht="31.5" x14ac:dyDescent="0.25">
      <c r="A91" s="35">
        <v>2</v>
      </c>
      <c r="B91" s="35">
        <v>2</v>
      </c>
      <c r="C91" s="41">
        <v>7</v>
      </c>
      <c r="D91" s="35">
        <v>2</v>
      </c>
      <c r="E91" s="62">
        <v>4</v>
      </c>
      <c r="F91" s="114" t="s">
        <v>68</v>
      </c>
      <c r="G91" s="66">
        <v>118000</v>
      </c>
      <c r="H91" s="54"/>
      <c r="I91" s="54">
        <f>+G91-H91</f>
        <v>118000</v>
      </c>
      <c r="J91" s="54"/>
      <c r="K91" s="134">
        <f t="shared" si="30"/>
        <v>0</v>
      </c>
      <c r="L91" s="66">
        <f>+G91-K91</f>
        <v>118000</v>
      </c>
      <c r="M91" s="11"/>
    </row>
    <row r="92" spans="1:13" ht="31.5" x14ac:dyDescent="0.25">
      <c r="A92" s="35">
        <v>2</v>
      </c>
      <c r="B92" s="35">
        <v>2</v>
      </c>
      <c r="C92" s="41">
        <v>7</v>
      </c>
      <c r="D92" s="35">
        <v>2</v>
      </c>
      <c r="E92" s="62">
        <v>6</v>
      </c>
      <c r="F92" s="114" t="s">
        <v>69</v>
      </c>
      <c r="G92" s="66">
        <v>200000</v>
      </c>
      <c r="H92" s="54">
        <f>700+700+2300+700</f>
        <v>4400</v>
      </c>
      <c r="I92" s="54">
        <f>+G92-H92</f>
        <v>195600</v>
      </c>
      <c r="J92" s="54">
        <f>700+200+400+800+700</f>
        <v>2800</v>
      </c>
      <c r="K92" s="134">
        <f>+H92+J92</f>
        <v>7200</v>
      </c>
      <c r="L92" s="66">
        <f>+G92-K92</f>
        <v>192800</v>
      </c>
      <c r="M92" s="11"/>
    </row>
    <row r="93" spans="1:13" ht="15.75" x14ac:dyDescent="0.25">
      <c r="A93" s="35"/>
      <c r="B93" s="35"/>
      <c r="C93" s="41"/>
      <c r="D93" s="35"/>
      <c r="E93" s="62"/>
      <c r="F93" s="68"/>
      <c r="G93" s="66"/>
      <c r="H93" s="54"/>
      <c r="I93" s="54"/>
      <c r="J93" s="54"/>
      <c r="K93" s="133"/>
      <c r="L93" s="54"/>
      <c r="M93" s="11"/>
    </row>
    <row r="94" spans="1:13" ht="16.5" thickBot="1" x14ac:dyDescent="0.3">
      <c r="A94" s="35">
        <v>2</v>
      </c>
      <c r="B94" s="35">
        <v>2</v>
      </c>
      <c r="C94" s="41">
        <v>8</v>
      </c>
      <c r="D94" s="35"/>
      <c r="E94" s="42"/>
      <c r="F94" s="69" t="s">
        <v>70</v>
      </c>
      <c r="G94" s="95">
        <f>SUM(G95+G96)+G98+G103</f>
        <v>30781506</v>
      </c>
      <c r="H94" s="44">
        <f>H95+H96+H98+H103</f>
        <v>1027473.0900000001</v>
      </c>
      <c r="I94" s="44">
        <f t="shared" ref="I94:L94" si="31">I95+I96+I98+I103</f>
        <v>29754032.910000004</v>
      </c>
      <c r="J94" s="44">
        <f t="shared" si="31"/>
        <v>1987672.88</v>
      </c>
      <c r="K94" s="44">
        <f t="shared" si="31"/>
        <v>3015145.97</v>
      </c>
      <c r="L94" s="44">
        <f t="shared" si="31"/>
        <v>27766360.030000001</v>
      </c>
      <c r="M94" s="11"/>
    </row>
    <row r="95" spans="1:13" ht="15.75" x14ac:dyDescent="0.25">
      <c r="A95" s="35">
        <v>2</v>
      </c>
      <c r="B95" s="35">
        <v>2</v>
      </c>
      <c r="C95" s="41">
        <v>8</v>
      </c>
      <c r="D95" s="35">
        <v>2</v>
      </c>
      <c r="E95" s="62"/>
      <c r="F95" s="68" t="s">
        <v>71</v>
      </c>
      <c r="G95" s="105">
        <v>120000</v>
      </c>
      <c r="H95" s="53">
        <f>60+7580.62</f>
        <v>7640.62</v>
      </c>
      <c r="I95" s="53">
        <f>+G95-H95</f>
        <v>112359.38</v>
      </c>
      <c r="J95" s="53">
        <f>60+14000.05</f>
        <v>14060.05</v>
      </c>
      <c r="K95" s="131">
        <f>+H95+J95</f>
        <v>21700.67</v>
      </c>
      <c r="L95" s="139">
        <f>+G95-K95</f>
        <v>98299.33</v>
      </c>
      <c r="M95" s="11"/>
    </row>
    <row r="96" spans="1:13" ht="31.5" x14ac:dyDescent="0.25">
      <c r="A96" s="35">
        <v>2</v>
      </c>
      <c r="B96" s="35">
        <v>2</v>
      </c>
      <c r="C96" s="41">
        <v>8</v>
      </c>
      <c r="D96" s="35">
        <v>4</v>
      </c>
      <c r="E96" s="35"/>
      <c r="F96" s="68" t="s">
        <v>72</v>
      </c>
      <c r="G96" s="66">
        <v>0</v>
      </c>
      <c r="H96" s="54">
        <v>0</v>
      </c>
      <c r="I96" s="54">
        <f>+G96-H96</f>
        <v>0</v>
      </c>
      <c r="J96" s="54">
        <v>0</v>
      </c>
      <c r="K96" s="133">
        <f>+H96+J96</f>
        <v>0</v>
      </c>
      <c r="L96" s="130">
        <f>+G96-K96</f>
        <v>0</v>
      </c>
      <c r="M96" s="11"/>
    </row>
    <row r="97" spans="1:13" ht="15.75" x14ac:dyDescent="0.25">
      <c r="A97" s="35"/>
      <c r="B97" s="35"/>
      <c r="C97" s="41"/>
      <c r="D97" s="35"/>
      <c r="E97" s="35"/>
      <c r="F97" s="68"/>
      <c r="G97" s="66"/>
      <c r="H97" s="54"/>
      <c r="I97" s="54"/>
      <c r="J97" s="54"/>
      <c r="K97" s="133"/>
      <c r="L97" s="130"/>
      <c r="M97" s="11"/>
    </row>
    <row r="98" spans="1:13" ht="32.25" thickBot="1" x14ac:dyDescent="0.3">
      <c r="A98" s="35">
        <v>2</v>
      </c>
      <c r="B98" s="35">
        <v>2</v>
      </c>
      <c r="C98" s="41">
        <v>8</v>
      </c>
      <c r="D98" s="35">
        <v>6</v>
      </c>
      <c r="E98" s="42"/>
      <c r="F98" s="69" t="s">
        <v>73</v>
      </c>
      <c r="G98" s="95">
        <f>G99+G100</f>
        <v>9551002</v>
      </c>
      <c r="H98" s="60">
        <f>H99+H100+H101</f>
        <v>369163.7</v>
      </c>
      <c r="I98" s="60">
        <f t="shared" ref="I98:L98" si="32">I99+I100+I101</f>
        <v>9181838.3000000007</v>
      </c>
      <c r="J98" s="60">
        <f t="shared" si="32"/>
        <v>82996.73000000001</v>
      </c>
      <c r="K98" s="60">
        <f t="shared" si="32"/>
        <v>452160.43</v>
      </c>
      <c r="L98" s="60">
        <f t="shared" si="32"/>
        <v>9098841.5700000003</v>
      </c>
      <c r="M98" s="11"/>
    </row>
    <row r="99" spans="1:13" ht="15.75" x14ac:dyDescent="0.25">
      <c r="A99" s="35">
        <v>2</v>
      </c>
      <c r="B99" s="35">
        <v>2</v>
      </c>
      <c r="C99" s="41">
        <v>8</v>
      </c>
      <c r="D99" s="35">
        <v>6</v>
      </c>
      <c r="E99" s="35">
        <v>1</v>
      </c>
      <c r="F99" s="68" t="s">
        <v>74</v>
      </c>
      <c r="G99" s="105">
        <v>9155002</v>
      </c>
      <c r="H99" s="53">
        <f>8102+7122.7+8869</f>
        <v>24093.7</v>
      </c>
      <c r="I99" s="53">
        <f>+G99-H99</f>
        <v>9130908.3000000007</v>
      </c>
      <c r="J99" s="53">
        <f>7522.5+8869+15694+21240</f>
        <v>53325.5</v>
      </c>
      <c r="K99" s="131">
        <f>+H99+J99</f>
        <v>77419.199999999997</v>
      </c>
      <c r="L99" s="53">
        <f>+G99-K99</f>
        <v>9077582.8000000007</v>
      </c>
      <c r="M99" s="11"/>
    </row>
    <row r="100" spans="1:13" ht="15.75" x14ac:dyDescent="0.25">
      <c r="A100" s="35">
        <v>2</v>
      </c>
      <c r="B100" s="35">
        <v>2</v>
      </c>
      <c r="C100" s="41">
        <v>8</v>
      </c>
      <c r="D100" s="35">
        <v>6</v>
      </c>
      <c r="E100" s="35">
        <v>2</v>
      </c>
      <c r="F100" s="68" t="s">
        <v>75</v>
      </c>
      <c r="G100" s="66">
        <v>396000</v>
      </c>
      <c r="H100" s="54">
        <f>4370+3200</f>
        <v>7570</v>
      </c>
      <c r="I100" s="54">
        <f>+G100-H100</f>
        <v>388430</v>
      </c>
      <c r="J100" s="54">
        <v>8950</v>
      </c>
      <c r="K100" s="133">
        <f>+H100+J100</f>
        <v>16520</v>
      </c>
      <c r="L100" s="54">
        <f>+G100-K100</f>
        <v>379480</v>
      </c>
      <c r="M100" s="11"/>
    </row>
    <row r="101" spans="1:13" ht="15.75" x14ac:dyDescent="0.25">
      <c r="A101" s="35">
        <v>2</v>
      </c>
      <c r="B101" s="35">
        <v>2</v>
      </c>
      <c r="C101" s="41">
        <v>8</v>
      </c>
      <c r="D101" s="35">
        <v>6</v>
      </c>
      <c r="E101" s="35">
        <v>3</v>
      </c>
      <c r="F101" s="68" t="s">
        <v>124</v>
      </c>
      <c r="G101" s="52"/>
      <c r="H101" s="54">
        <v>337500</v>
      </c>
      <c r="I101" s="54">
        <f>+G101-H101</f>
        <v>-337500</v>
      </c>
      <c r="J101" s="54">
        <f>5026+7170.2+8525.03</f>
        <v>20721.230000000003</v>
      </c>
      <c r="K101" s="133">
        <f>+H101+J101</f>
        <v>358221.23</v>
      </c>
      <c r="L101" s="54">
        <f t="shared" ref="L101:L102" si="33">+G101-K101</f>
        <v>-358221.23</v>
      </c>
      <c r="M101" s="11"/>
    </row>
    <row r="102" spans="1:13" ht="15.75" x14ac:dyDescent="0.25">
      <c r="A102" s="35"/>
      <c r="B102" s="35"/>
      <c r="C102" s="41"/>
      <c r="D102" s="35"/>
      <c r="E102" s="35"/>
      <c r="F102" s="68"/>
      <c r="G102" s="52"/>
      <c r="H102" s="54"/>
      <c r="I102" s="54">
        <v>0</v>
      </c>
      <c r="J102" s="54"/>
      <c r="K102" s="133">
        <f t="shared" ref="K102" si="34">+H102+J102</f>
        <v>0</v>
      </c>
      <c r="L102" s="54">
        <f t="shared" si="33"/>
        <v>0</v>
      </c>
      <c r="M102" s="11"/>
    </row>
    <row r="103" spans="1:13" ht="15.75" x14ac:dyDescent="0.25">
      <c r="A103" s="35">
        <v>2</v>
      </c>
      <c r="B103" s="35">
        <v>2</v>
      </c>
      <c r="C103" s="41">
        <v>8</v>
      </c>
      <c r="D103" s="35">
        <v>7</v>
      </c>
      <c r="E103" s="42"/>
      <c r="F103" s="69" t="s">
        <v>76</v>
      </c>
      <c r="G103" s="70">
        <f>G104+G105+G106+G107+G108</f>
        <v>21110504</v>
      </c>
      <c r="H103" s="61">
        <f>H104+H105+H106+H107+H108</f>
        <v>650668.77</v>
      </c>
      <c r="I103" s="61">
        <f t="shared" ref="I103:L103" si="35">I104+I105+I106+I107+I108</f>
        <v>20459835.23</v>
      </c>
      <c r="J103" s="61">
        <f t="shared" si="35"/>
        <v>1890616.0999999999</v>
      </c>
      <c r="K103" s="61">
        <f t="shared" si="35"/>
        <v>2541284.87</v>
      </c>
      <c r="L103" s="61">
        <f t="shared" si="35"/>
        <v>18569219.129999999</v>
      </c>
      <c r="M103" s="11"/>
    </row>
    <row r="104" spans="1:13" ht="15.75" x14ac:dyDescent="0.25">
      <c r="A104" s="35">
        <v>2</v>
      </c>
      <c r="B104" s="35">
        <v>2</v>
      </c>
      <c r="C104" s="41">
        <v>8</v>
      </c>
      <c r="D104" s="35">
        <v>7</v>
      </c>
      <c r="E104" s="35">
        <v>1</v>
      </c>
      <c r="F104" s="68" t="s">
        <v>77</v>
      </c>
      <c r="G104" s="52">
        <v>2744000</v>
      </c>
      <c r="H104" s="54"/>
      <c r="I104" s="54">
        <f>+G104-H104</f>
        <v>2744000</v>
      </c>
      <c r="J104" s="54"/>
      <c r="K104" s="133">
        <f>+H104+J104</f>
        <v>0</v>
      </c>
      <c r="L104" s="54">
        <f>+G104-K104</f>
        <v>2744000</v>
      </c>
      <c r="M104" s="11"/>
    </row>
    <row r="105" spans="1:13" ht="31.5" x14ac:dyDescent="0.25">
      <c r="A105" s="35">
        <v>2</v>
      </c>
      <c r="B105" s="35">
        <v>2</v>
      </c>
      <c r="C105" s="41">
        <v>8</v>
      </c>
      <c r="D105" s="35">
        <v>7</v>
      </c>
      <c r="E105" s="62">
        <v>3</v>
      </c>
      <c r="F105" s="68" t="s">
        <v>78</v>
      </c>
      <c r="G105" s="52">
        <v>315000</v>
      </c>
      <c r="H105" s="54"/>
      <c r="I105" s="54">
        <f>+G105-H105</f>
        <v>315000</v>
      </c>
      <c r="J105" s="54"/>
      <c r="K105" s="133">
        <f>+H105+J105</f>
        <v>0</v>
      </c>
      <c r="L105" s="54">
        <f>+G105-K105</f>
        <v>315000</v>
      </c>
      <c r="M105" s="11"/>
    </row>
    <row r="106" spans="1:13" ht="15.75" x14ac:dyDescent="0.25">
      <c r="A106" s="35">
        <v>2</v>
      </c>
      <c r="B106" s="35">
        <v>2</v>
      </c>
      <c r="C106" s="41">
        <v>8</v>
      </c>
      <c r="D106" s="35">
        <v>7</v>
      </c>
      <c r="E106" s="35">
        <v>4</v>
      </c>
      <c r="F106" s="68" t="s">
        <v>79</v>
      </c>
      <c r="G106" s="52">
        <v>225000</v>
      </c>
      <c r="H106" s="54"/>
      <c r="I106" s="54">
        <f>+G106-H106</f>
        <v>225000</v>
      </c>
      <c r="J106" s="54"/>
      <c r="K106" s="133">
        <f>+H106+J106</f>
        <v>0</v>
      </c>
      <c r="L106" s="54">
        <f t="shared" ref="L106:L108" si="36">+G106-K106</f>
        <v>225000</v>
      </c>
      <c r="M106" s="11"/>
    </row>
    <row r="107" spans="1:13" ht="31.5" x14ac:dyDescent="0.25">
      <c r="A107" s="35">
        <v>2</v>
      </c>
      <c r="B107" s="35">
        <v>2</v>
      </c>
      <c r="C107" s="41">
        <v>8</v>
      </c>
      <c r="D107" s="35">
        <v>7</v>
      </c>
      <c r="E107" s="35">
        <v>5</v>
      </c>
      <c r="F107" s="68" t="s">
        <v>80</v>
      </c>
      <c r="G107" s="52">
        <v>3037000</v>
      </c>
      <c r="H107" s="54"/>
      <c r="I107" s="54">
        <f>+G107-H107</f>
        <v>3037000</v>
      </c>
      <c r="J107" s="54">
        <v>25770.63</v>
      </c>
      <c r="K107" s="133">
        <f>+H107+J107</f>
        <v>25770.63</v>
      </c>
      <c r="L107" s="54">
        <f t="shared" si="36"/>
        <v>3011229.37</v>
      </c>
      <c r="M107" s="11"/>
    </row>
    <row r="108" spans="1:13" ht="31.5" x14ac:dyDescent="0.25">
      <c r="A108" s="35">
        <v>2</v>
      </c>
      <c r="B108" s="35">
        <v>2</v>
      </c>
      <c r="C108" s="41">
        <v>8</v>
      </c>
      <c r="D108" s="35">
        <v>7</v>
      </c>
      <c r="E108" s="35">
        <v>6</v>
      </c>
      <c r="F108" s="68" t="s">
        <v>81</v>
      </c>
      <c r="G108" s="52">
        <v>14789504</v>
      </c>
      <c r="H108" s="54">
        <f>11800+30510+144225.5+177000+188800+35400+62933.27</f>
        <v>650668.77</v>
      </c>
      <c r="I108" s="54">
        <f>+G108-H108</f>
        <v>14138835.23</v>
      </c>
      <c r="J108" s="54">
        <f>8024+3500+1500+165200+99120+29598.33+181871.04+264615+293932.1+20060+4000+200+188800+177000+144225+165200+118000</f>
        <v>1864845.47</v>
      </c>
      <c r="K108" s="133">
        <f>+H108+J108</f>
        <v>2515514.2400000002</v>
      </c>
      <c r="L108" s="54">
        <f t="shared" si="36"/>
        <v>12273989.76</v>
      </c>
      <c r="M108" s="11"/>
    </row>
    <row r="109" spans="1:13" ht="16.5" thickBot="1" x14ac:dyDescent="0.3">
      <c r="A109" s="35"/>
      <c r="B109" s="35"/>
      <c r="C109" s="41"/>
      <c r="D109" s="35"/>
      <c r="E109" s="35"/>
      <c r="F109" s="68"/>
      <c r="G109" s="55"/>
      <c r="H109" s="60"/>
      <c r="I109" s="60"/>
      <c r="J109" s="60"/>
      <c r="K109" s="143"/>
      <c r="L109" s="60"/>
      <c r="M109" s="11"/>
    </row>
    <row r="110" spans="1:13" ht="16.5" thickBot="1" x14ac:dyDescent="0.3">
      <c r="A110" s="35">
        <v>2</v>
      </c>
      <c r="B110" s="35">
        <v>2</v>
      </c>
      <c r="C110" s="41">
        <v>9</v>
      </c>
      <c r="D110" s="35"/>
      <c r="E110" s="35"/>
      <c r="F110" s="69" t="s">
        <v>82</v>
      </c>
      <c r="G110" s="47">
        <f>G111+G112</f>
        <v>200000</v>
      </c>
      <c r="H110" s="96">
        <f>H111+H112</f>
        <v>32091.35</v>
      </c>
      <c r="I110" s="96">
        <f t="shared" ref="I110:L110" si="37">I111+I112</f>
        <v>167908.65</v>
      </c>
      <c r="J110" s="96">
        <f t="shared" si="37"/>
        <v>33347.26</v>
      </c>
      <c r="K110" s="96">
        <f t="shared" si="37"/>
        <v>65438.61</v>
      </c>
      <c r="L110" s="96">
        <f t="shared" si="37"/>
        <v>134561.39000000001</v>
      </c>
      <c r="M110" s="11"/>
    </row>
    <row r="111" spans="1:13" ht="16.5" thickBot="1" x14ac:dyDescent="0.3">
      <c r="A111" s="35">
        <v>2</v>
      </c>
      <c r="B111" s="35">
        <v>2</v>
      </c>
      <c r="C111" s="41">
        <v>9</v>
      </c>
      <c r="D111" s="35">
        <v>2</v>
      </c>
      <c r="E111" s="35"/>
      <c r="F111" s="68" t="s">
        <v>83</v>
      </c>
      <c r="G111" s="45"/>
      <c r="H111" s="71"/>
      <c r="I111" s="71"/>
      <c r="J111" s="71"/>
      <c r="K111" s="144"/>
      <c r="L111" s="71"/>
      <c r="M111" s="11"/>
    </row>
    <row r="112" spans="1:13" ht="15.75" x14ac:dyDescent="0.25">
      <c r="A112" s="35"/>
      <c r="B112" s="35">
        <v>2</v>
      </c>
      <c r="C112" s="41">
        <v>9</v>
      </c>
      <c r="D112" s="35">
        <v>2</v>
      </c>
      <c r="E112" s="35">
        <v>1</v>
      </c>
      <c r="F112" s="68" t="s">
        <v>83</v>
      </c>
      <c r="G112" s="52">
        <v>200000</v>
      </c>
      <c r="H112" s="54">
        <f>220+1403.85+379.9+360+430+259.81+1280+619.8+504+759.8+25874.19</f>
        <v>32091.35</v>
      </c>
      <c r="I112" s="54">
        <f>+G112-H112</f>
        <v>167908.65</v>
      </c>
      <c r="J112" s="54">
        <f>1700+1446.8+50+360+1646.65+8326.72+360+504+17318.09+360+400+875</f>
        <v>33347.26</v>
      </c>
      <c r="K112" s="133">
        <f>+H112+J112</f>
        <v>65438.61</v>
      </c>
      <c r="L112" s="54">
        <f>+G112-K112</f>
        <v>134561.39000000001</v>
      </c>
      <c r="M112" s="11"/>
    </row>
    <row r="113" spans="1:13" ht="15.75" x14ac:dyDescent="0.25">
      <c r="A113" s="35"/>
      <c r="B113" s="35"/>
      <c r="C113" s="41"/>
      <c r="D113" s="35"/>
      <c r="E113" s="35"/>
      <c r="F113" s="68"/>
      <c r="G113" s="52"/>
      <c r="H113" s="54"/>
      <c r="I113" s="54"/>
      <c r="J113" s="54"/>
      <c r="K113" s="133"/>
      <c r="L113" s="54"/>
      <c r="M113" s="11"/>
    </row>
    <row r="114" spans="1:13" ht="16.5" thickBot="1" x14ac:dyDescent="0.3">
      <c r="A114" s="35">
        <v>2</v>
      </c>
      <c r="B114" s="35">
        <v>3</v>
      </c>
      <c r="C114" s="41"/>
      <c r="D114" s="35"/>
      <c r="E114" s="42"/>
      <c r="F114" s="69" t="s">
        <v>84</v>
      </c>
      <c r="G114" s="43">
        <f>G115+G119+G122+G128+G132+G140</f>
        <v>1956500</v>
      </c>
      <c r="H114" s="93">
        <f>H115+H119+H122+H128+H132+H140</f>
        <v>313477.32</v>
      </c>
      <c r="I114" s="93">
        <f t="shared" ref="I114:L114" si="38">I115+I119+I122+I128+I132+I140</f>
        <v>1092384.55</v>
      </c>
      <c r="J114" s="93">
        <f t="shared" si="38"/>
        <v>119674.04000000001</v>
      </c>
      <c r="K114" s="93">
        <f t="shared" si="38"/>
        <v>433151.36</v>
      </c>
      <c r="L114" s="93">
        <f t="shared" si="38"/>
        <v>1523348.64</v>
      </c>
      <c r="M114" s="11"/>
    </row>
    <row r="115" spans="1:13" ht="12" customHeight="1" thickBot="1" x14ac:dyDescent="0.3">
      <c r="A115" s="35">
        <v>2</v>
      </c>
      <c r="B115" s="35">
        <v>3</v>
      </c>
      <c r="C115" s="41">
        <v>1</v>
      </c>
      <c r="D115" s="35"/>
      <c r="E115" s="42"/>
      <c r="F115" s="115" t="s">
        <v>85</v>
      </c>
      <c r="G115" s="56">
        <f>G116</f>
        <v>0</v>
      </c>
      <c r="H115" s="57">
        <f>H116</f>
        <v>0</v>
      </c>
      <c r="I115" s="57">
        <f>I116</f>
        <v>0</v>
      </c>
      <c r="J115" s="57">
        <f>J116</f>
        <v>0</v>
      </c>
      <c r="K115" s="145"/>
      <c r="L115" s="57">
        <f>L116</f>
        <v>0</v>
      </c>
      <c r="M115" s="11"/>
    </row>
    <row r="116" spans="1:13" ht="12" customHeight="1" x14ac:dyDescent="0.25">
      <c r="A116" s="35">
        <v>2</v>
      </c>
      <c r="B116" s="35">
        <v>3</v>
      </c>
      <c r="C116" s="41">
        <v>1</v>
      </c>
      <c r="D116" s="35">
        <v>1</v>
      </c>
      <c r="E116" s="42"/>
      <c r="F116" s="116" t="s">
        <v>86</v>
      </c>
      <c r="G116" s="52">
        <f>G117</f>
        <v>0</v>
      </c>
      <c r="H116" s="49"/>
      <c r="I116" s="49">
        <f>+G116-H116</f>
        <v>0</v>
      </c>
      <c r="J116" s="49"/>
      <c r="K116" s="127">
        <f>+H116+J116</f>
        <v>0</v>
      </c>
      <c r="L116" s="54">
        <f>+G116-K116</f>
        <v>0</v>
      </c>
      <c r="M116" s="11"/>
    </row>
    <row r="117" spans="1:13" ht="12" customHeight="1" x14ac:dyDescent="0.25">
      <c r="A117" s="35">
        <v>2</v>
      </c>
      <c r="B117" s="35">
        <v>3</v>
      </c>
      <c r="C117" s="41">
        <v>1</v>
      </c>
      <c r="D117" s="35">
        <v>1</v>
      </c>
      <c r="E117" s="42">
        <v>1</v>
      </c>
      <c r="F117" s="116" t="s">
        <v>86</v>
      </c>
      <c r="G117" s="52"/>
      <c r="H117" s="54">
        <v>0</v>
      </c>
      <c r="I117" s="54">
        <v>0</v>
      </c>
      <c r="J117" s="54">
        <v>0</v>
      </c>
      <c r="K117" s="133">
        <f>+H117+J117</f>
        <v>0</v>
      </c>
      <c r="L117" s="54">
        <f>+G117-K117</f>
        <v>0</v>
      </c>
      <c r="M117" s="11"/>
    </row>
    <row r="118" spans="1:13" ht="12" customHeight="1" x14ac:dyDescent="0.25">
      <c r="A118" s="35"/>
      <c r="B118" s="35"/>
      <c r="C118" s="41"/>
      <c r="D118" s="35"/>
      <c r="E118" s="42"/>
      <c r="F118" s="115"/>
      <c r="G118" s="52"/>
      <c r="H118" s="54"/>
      <c r="I118" s="54"/>
      <c r="J118" s="54"/>
      <c r="K118" s="133"/>
      <c r="L118" s="54">
        <f>+G118-K118</f>
        <v>0</v>
      </c>
      <c r="M118" s="11"/>
    </row>
    <row r="119" spans="1:13" s="9" customFormat="1" ht="16.5" thickBot="1" x14ac:dyDescent="0.3">
      <c r="A119" s="35">
        <v>2</v>
      </c>
      <c r="B119" s="35">
        <v>3</v>
      </c>
      <c r="C119" s="41">
        <v>2</v>
      </c>
      <c r="D119" s="35"/>
      <c r="E119" s="42"/>
      <c r="F119" s="115" t="s">
        <v>87</v>
      </c>
      <c r="G119" s="54">
        <f>G120</f>
        <v>450000</v>
      </c>
      <c r="H119" s="54">
        <f>H120</f>
        <v>0</v>
      </c>
      <c r="I119" s="54">
        <f>I120</f>
        <v>0</v>
      </c>
      <c r="J119" s="54">
        <f>J120</f>
        <v>0</v>
      </c>
      <c r="K119" s="133">
        <f t="shared" ref="K119:L119" si="39">K120</f>
        <v>0</v>
      </c>
      <c r="L119" s="54">
        <f t="shared" si="39"/>
        <v>450000</v>
      </c>
      <c r="M119" s="136"/>
    </row>
    <row r="120" spans="1:13" ht="15.75" x14ac:dyDescent="0.25">
      <c r="A120" s="35">
        <v>2</v>
      </c>
      <c r="B120" s="35">
        <v>3</v>
      </c>
      <c r="C120" s="41">
        <v>2</v>
      </c>
      <c r="D120" s="35">
        <v>3</v>
      </c>
      <c r="E120" s="42"/>
      <c r="F120" s="116" t="s">
        <v>88</v>
      </c>
      <c r="G120" s="51">
        <v>450000</v>
      </c>
      <c r="H120" s="53">
        <v>0</v>
      </c>
      <c r="I120" s="53">
        <v>0</v>
      </c>
      <c r="J120" s="53">
        <v>0</v>
      </c>
      <c r="K120" s="131">
        <f>+H120+J120</f>
        <v>0</v>
      </c>
      <c r="L120" s="53">
        <f>+G120-K120</f>
        <v>450000</v>
      </c>
      <c r="M120" s="11"/>
    </row>
    <row r="121" spans="1:13" ht="15.75" x14ac:dyDescent="0.25">
      <c r="A121" s="35"/>
      <c r="B121" s="35"/>
      <c r="C121" s="41"/>
      <c r="D121" s="35"/>
      <c r="E121" s="42"/>
      <c r="F121" s="115"/>
      <c r="G121" s="52"/>
      <c r="H121" s="49"/>
      <c r="I121" s="49"/>
      <c r="J121" s="49"/>
      <c r="K121" s="127"/>
      <c r="L121" s="49"/>
      <c r="M121" s="11"/>
    </row>
    <row r="122" spans="1:13" ht="32.25" thickBot="1" x14ac:dyDescent="0.3">
      <c r="A122" s="35">
        <v>2</v>
      </c>
      <c r="B122" s="58">
        <v>3</v>
      </c>
      <c r="C122" s="59">
        <v>3</v>
      </c>
      <c r="D122" s="42"/>
      <c r="E122" s="42"/>
      <c r="F122" s="69" t="s">
        <v>89</v>
      </c>
      <c r="G122" s="43">
        <f>G123+G124+G125+G126</f>
        <v>101500</v>
      </c>
      <c r="H122" s="50">
        <f>H123+H124+H125+H126</f>
        <v>0</v>
      </c>
      <c r="I122" s="50">
        <f>I123+I124+I125+I126</f>
        <v>101500</v>
      </c>
      <c r="J122" s="50">
        <f>J123+J124+J125+J126</f>
        <v>0</v>
      </c>
      <c r="K122" s="146">
        <f t="shared" ref="K122" si="40">K123+K124+K125+K126</f>
        <v>0</v>
      </c>
      <c r="L122" s="50">
        <f>L123+L124+L125+L126</f>
        <v>101500</v>
      </c>
      <c r="M122" s="11"/>
    </row>
    <row r="123" spans="1:13" ht="15.75" x14ac:dyDescent="0.25">
      <c r="A123" s="35">
        <v>2</v>
      </c>
      <c r="B123" s="35">
        <v>3</v>
      </c>
      <c r="C123" s="41">
        <v>3</v>
      </c>
      <c r="D123" s="35">
        <v>1</v>
      </c>
      <c r="E123" s="35"/>
      <c r="F123" s="68" t="s">
        <v>90</v>
      </c>
      <c r="G123" s="51">
        <v>68000</v>
      </c>
      <c r="H123" s="53"/>
      <c r="I123" s="53">
        <f>+G123-H123</f>
        <v>68000</v>
      </c>
      <c r="J123" s="53"/>
      <c r="K123" s="131">
        <f>+H123+J123</f>
        <v>0</v>
      </c>
      <c r="L123" s="53">
        <f>+G123-K123</f>
        <v>68000</v>
      </c>
      <c r="M123" s="11"/>
    </row>
    <row r="124" spans="1:13" ht="15.75" x14ac:dyDescent="0.25">
      <c r="A124" s="35">
        <v>2</v>
      </c>
      <c r="B124" s="35">
        <v>3</v>
      </c>
      <c r="C124" s="41">
        <v>3</v>
      </c>
      <c r="D124" s="35">
        <v>2</v>
      </c>
      <c r="E124" s="35"/>
      <c r="F124" s="68" t="s">
        <v>91</v>
      </c>
      <c r="G124" s="52">
        <v>23000</v>
      </c>
      <c r="H124" s="54">
        <v>0</v>
      </c>
      <c r="I124" s="54">
        <f>+G124-H124</f>
        <v>23000</v>
      </c>
      <c r="J124" s="54">
        <v>0</v>
      </c>
      <c r="K124" s="133">
        <f>+H124+J124</f>
        <v>0</v>
      </c>
      <c r="L124" s="54">
        <f>+G124-K124</f>
        <v>23000</v>
      </c>
      <c r="M124" s="11"/>
    </row>
    <row r="125" spans="1:13" s="13" customFormat="1" ht="15.75" x14ac:dyDescent="0.25">
      <c r="A125" s="35">
        <v>2</v>
      </c>
      <c r="B125" s="35">
        <v>3</v>
      </c>
      <c r="C125" s="41">
        <v>3</v>
      </c>
      <c r="D125" s="35">
        <v>3</v>
      </c>
      <c r="E125" s="35"/>
      <c r="F125" s="68" t="s">
        <v>92</v>
      </c>
      <c r="G125" s="52">
        <v>0</v>
      </c>
      <c r="H125" s="54">
        <v>0</v>
      </c>
      <c r="I125" s="54">
        <f>+G125-H125</f>
        <v>0</v>
      </c>
      <c r="J125" s="54">
        <v>0</v>
      </c>
      <c r="K125" s="133">
        <f>+H125+J125</f>
        <v>0</v>
      </c>
      <c r="L125" s="54">
        <f t="shared" ref="L125:L126" si="41">+G125-K125</f>
        <v>0</v>
      </c>
      <c r="M125" s="147"/>
    </row>
    <row r="126" spans="1:13" s="13" customFormat="1" ht="15.75" x14ac:dyDescent="0.25">
      <c r="A126" s="35">
        <v>2</v>
      </c>
      <c r="B126" s="35">
        <v>3</v>
      </c>
      <c r="C126" s="41">
        <v>3</v>
      </c>
      <c r="D126" s="35">
        <v>4</v>
      </c>
      <c r="E126" s="35"/>
      <c r="F126" s="68" t="s">
        <v>93</v>
      </c>
      <c r="G126" s="52">
        <v>10500</v>
      </c>
      <c r="H126" s="54"/>
      <c r="I126" s="54">
        <f>+G126-H126</f>
        <v>10500</v>
      </c>
      <c r="J126" s="54"/>
      <c r="K126" s="133">
        <f>+H126+J126</f>
        <v>0</v>
      </c>
      <c r="L126" s="54">
        <f t="shared" si="41"/>
        <v>10500</v>
      </c>
      <c r="M126" s="147"/>
    </row>
    <row r="127" spans="1:13" s="14" customFormat="1" ht="15.75" x14ac:dyDescent="0.25">
      <c r="A127" s="35"/>
      <c r="B127" s="35"/>
      <c r="C127" s="41"/>
      <c r="D127" s="35"/>
      <c r="E127" s="35"/>
      <c r="F127" s="68"/>
      <c r="G127" s="52"/>
      <c r="H127" s="54"/>
      <c r="I127" s="54"/>
      <c r="J127" s="54"/>
      <c r="K127" s="133"/>
      <c r="L127" s="54"/>
      <c r="M127" s="148"/>
    </row>
    <row r="128" spans="1:13" ht="32.25" thickBot="1" x14ac:dyDescent="0.3">
      <c r="A128" s="42">
        <v>2</v>
      </c>
      <c r="B128" s="42">
        <v>3</v>
      </c>
      <c r="C128" s="72">
        <v>7</v>
      </c>
      <c r="D128" s="42"/>
      <c r="E128" s="42"/>
      <c r="F128" s="69" t="s">
        <v>94</v>
      </c>
      <c r="G128" s="43">
        <f t="shared" ref="G128:K129" si="42">G129</f>
        <v>360000</v>
      </c>
      <c r="H128" s="60">
        <f t="shared" si="42"/>
        <v>200000</v>
      </c>
      <c r="I128" s="60">
        <f t="shared" si="42"/>
        <v>160000</v>
      </c>
      <c r="J128" s="60">
        <f t="shared" si="42"/>
        <v>0</v>
      </c>
      <c r="K128" s="149">
        <f t="shared" si="42"/>
        <v>200000</v>
      </c>
      <c r="L128" s="43">
        <f>L129</f>
        <v>160000</v>
      </c>
      <c r="M128" s="11"/>
    </row>
    <row r="129" spans="1:13" ht="16.5" thickBot="1" x14ac:dyDescent="0.3">
      <c r="A129" s="42">
        <v>2</v>
      </c>
      <c r="B129" s="42">
        <v>3</v>
      </c>
      <c r="C129" s="72">
        <v>7</v>
      </c>
      <c r="D129" s="42">
        <v>1</v>
      </c>
      <c r="E129" s="42"/>
      <c r="F129" s="69" t="s">
        <v>95</v>
      </c>
      <c r="G129" s="43">
        <f t="shared" si="42"/>
        <v>360000</v>
      </c>
      <c r="H129" s="46">
        <f t="shared" si="42"/>
        <v>200000</v>
      </c>
      <c r="I129" s="46">
        <f t="shared" si="42"/>
        <v>160000</v>
      </c>
      <c r="J129" s="46">
        <f t="shared" si="42"/>
        <v>0</v>
      </c>
      <c r="K129" s="149">
        <f>K130</f>
        <v>200000</v>
      </c>
      <c r="L129" s="46">
        <f t="shared" ref="L129" si="43">L130</f>
        <v>160000</v>
      </c>
      <c r="M129" s="11"/>
    </row>
    <row r="130" spans="1:13" ht="15.75" x14ac:dyDescent="0.25">
      <c r="A130" s="62">
        <v>2</v>
      </c>
      <c r="B130" s="62">
        <v>3</v>
      </c>
      <c r="C130" s="73">
        <v>7</v>
      </c>
      <c r="D130" s="62">
        <v>1</v>
      </c>
      <c r="E130" s="62">
        <v>1</v>
      </c>
      <c r="F130" s="68" t="s">
        <v>96</v>
      </c>
      <c r="G130" s="66">
        <v>360000</v>
      </c>
      <c r="H130" s="53">
        <v>200000</v>
      </c>
      <c r="I130" s="53">
        <f>+G130-H130</f>
        <v>160000</v>
      </c>
      <c r="J130" s="53"/>
      <c r="K130" s="131">
        <f>+H130+J130</f>
        <v>200000</v>
      </c>
      <c r="L130" s="53">
        <f>+G130-K130</f>
        <v>160000</v>
      </c>
      <c r="M130" s="11"/>
    </row>
    <row r="131" spans="1:13" ht="15.75" x14ac:dyDescent="0.25">
      <c r="A131" s="35"/>
      <c r="B131" s="35"/>
      <c r="C131" s="41"/>
      <c r="D131" s="35"/>
      <c r="E131" s="35"/>
      <c r="F131" s="68"/>
      <c r="G131" s="52"/>
      <c r="H131" s="54"/>
      <c r="I131" s="54"/>
      <c r="J131" s="54"/>
      <c r="K131" s="133"/>
      <c r="L131" s="54"/>
      <c r="M131" s="11"/>
    </row>
    <row r="132" spans="1:13" ht="16.5" thickBot="1" x14ac:dyDescent="0.3">
      <c r="A132" s="35">
        <v>2</v>
      </c>
      <c r="B132" s="35">
        <v>3</v>
      </c>
      <c r="C132" s="41">
        <v>9</v>
      </c>
      <c r="D132" s="35"/>
      <c r="E132" s="42"/>
      <c r="F132" s="69" t="s">
        <v>97</v>
      </c>
      <c r="G132" s="70">
        <f>SUM(G133:G137)</f>
        <v>1045000</v>
      </c>
      <c r="H132" s="70">
        <f>SUM(H133:H137)</f>
        <v>113477.31999999999</v>
      </c>
      <c r="I132" s="70">
        <f>SUM(I133:I137)</f>
        <v>830884.55</v>
      </c>
      <c r="J132" s="70">
        <f>SUM(J133:J137)</f>
        <v>37182.32</v>
      </c>
      <c r="K132" s="150">
        <f t="shared" ref="K132" si="44">SUM(K133:K137)</f>
        <v>150659.63999999998</v>
      </c>
      <c r="L132" s="70">
        <f>SUM(L133:L137)</f>
        <v>894340.36</v>
      </c>
      <c r="M132" s="11"/>
    </row>
    <row r="133" spans="1:13" ht="15.75" x14ac:dyDescent="0.25">
      <c r="A133" s="35">
        <v>2</v>
      </c>
      <c r="B133" s="35">
        <v>3</v>
      </c>
      <c r="C133" s="41">
        <v>9</v>
      </c>
      <c r="D133" s="35">
        <v>1</v>
      </c>
      <c r="E133" s="35"/>
      <c r="F133" s="68" t="s">
        <v>98</v>
      </c>
      <c r="G133" s="51">
        <v>15000</v>
      </c>
      <c r="H133" s="54"/>
      <c r="I133" s="54">
        <f>+G133-H134</f>
        <v>-85638.13</v>
      </c>
      <c r="J133" s="54"/>
      <c r="K133" s="133">
        <f>+H133+J133</f>
        <v>0</v>
      </c>
      <c r="L133" s="54">
        <f>+G133-K133</f>
        <v>15000</v>
      </c>
      <c r="M133" s="11"/>
    </row>
    <row r="134" spans="1:13" ht="31.5" x14ac:dyDescent="0.25">
      <c r="A134" s="35">
        <v>2</v>
      </c>
      <c r="B134" s="35">
        <v>3</v>
      </c>
      <c r="C134" s="41">
        <v>9</v>
      </c>
      <c r="D134" s="35">
        <v>2</v>
      </c>
      <c r="E134" s="35"/>
      <c r="F134" s="68" t="s">
        <v>99</v>
      </c>
      <c r="G134" s="52">
        <v>320000</v>
      </c>
      <c r="H134" s="54">
        <f>19926.13+80712</f>
        <v>100638.13</v>
      </c>
      <c r="I134" s="54">
        <f>+G134-H134</f>
        <v>219361.87</v>
      </c>
      <c r="J134" s="54">
        <f>3307.28+20414</f>
        <v>23721.279999999999</v>
      </c>
      <c r="K134" s="133">
        <f>+H134+J134</f>
        <v>124359.41</v>
      </c>
      <c r="L134" s="54">
        <f>+G134-K134</f>
        <v>195640.59</v>
      </c>
      <c r="M134" s="11"/>
    </row>
    <row r="135" spans="1:13" ht="15.75" x14ac:dyDescent="0.25">
      <c r="A135" s="35">
        <v>2</v>
      </c>
      <c r="B135" s="62">
        <v>3</v>
      </c>
      <c r="C135" s="62">
        <v>9</v>
      </c>
      <c r="D135" s="35">
        <v>5</v>
      </c>
      <c r="E135" s="35"/>
      <c r="F135" s="117" t="s">
        <v>100</v>
      </c>
      <c r="G135" s="52">
        <v>25000</v>
      </c>
      <c r="H135" s="54">
        <f>249.9+10394.28</f>
        <v>10644.18</v>
      </c>
      <c r="I135" s="54">
        <f>+G135-H135</f>
        <v>14355.82</v>
      </c>
      <c r="J135" s="54">
        <f>120.3+4271.26</f>
        <v>4391.5600000000004</v>
      </c>
      <c r="K135" s="133">
        <f>+H135+J135</f>
        <v>15035.740000000002</v>
      </c>
      <c r="L135" s="54">
        <f t="shared" ref="L135:L138" si="45">+G135-K135</f>
        <v>9964.2599999999984</v>
      </c>
      <c r="M135" s="11"/>
    </row>
    <row r="136" spans="1:13" ht="31.5" x14ac:dyDescent="0.25">
      <c r="A136" s="35">
        <v>2</v>
      </c>
      <c r="B136" s="35">
        <v>3</v>
      </c>
      <c r="C136" s="41">
        <v>9</v>
      </c>
      <c r="D136" s="35">
        <v>8</v>
      </c>
      <c r="E136" s="35"/>
      <c r="F136" s="116" t="s">
        <v>101</v>
      </c>
      <c r="G136" s="52">
        <v>35000</v>
      </c>
      <c r="H136" s="54"/>
      <c r="I136" s="54">
        <f>+G136-H136</f>
        <v>35000</v>
      </c>
      <c r="J136" s="54">
        <v>813</v>
      </c>
      <c r="K136" s="133">
        <f>+H136+J136</f>
        <v>813</v>
      </c>
      <c r="L136" s="54">
        <f t="shared" si="45"/>
        <v>34187</v>
      </c>
      <c r="M136" s="11"/>
    </row>
    <row r="137" spans="1:13" ht="15.75" x14ac:dyDescent="0.25">
      <c r="A137" s="35">
        <v>2</v>
      </c>
      <c r="B137" s="35">
        <v>3</v>
      </c>
      <c r="C137" s="41">
        <v>9</v>
      </c>
      <c r="D137" s="35">
        <v>9</v>
      </c>
      <c r="E137" s="35"/>
      <c r="F137" s="116" t="s">
        <v>102</v>
      </c>
      <c r="G137" s="52">
        <v>650000</v>
      </c>
      <c r="H137" s="54">
        <v>2195.0100000000002</v>
      </c>
      <c r="I137" s="54">
        <f>+G137-H137</f>
        <v>647804.99</v>
      </c>
      <c r="J137" s="54">
        <f>5422.7+1094.08+1739.7</f>
        <v>8256.48</v>
      </c>
      <c r="K137" s="133">
        <f>+H137+J137</f>
        <v>10451.49</v>
      </c>
      <c r="L137" s="54">
        <f t="shared" si="45"/>
        <v>639548.51</v>
      </c>
      <c r="M137" s="11"/>
    </row>
    <row r="138" spans="1:13" ht="15.75" x14ac:dyDescent="0.25">
      <c r="A138" s="35">
        <v>2</v>
      </c>
      <c r="B138" s="35">
        <v>3</v>
      </c>
      <c r="C138" s="41">
        <v>9</v>
      </c>
      <c r="D138" s="35">
        <v>9</v>
      </c>
      <c r="E138" s="35">
        <v>2</v>
      </c>
      <c r="F138" s="116" t="s">
        <v>103</v>
      </c>
      <c r="G138" s="52"/>
      <c r="H138" s="54">
        <v>0</v>
      </c>
      <c r="I138" s="54">
        <v>0</v>
      </c>
      <c r="J138" s="54">
        <v>0</v>
      </c>
      <c r="K138" s="133">
        <f t="shared" ref="K138:K139" si="46">+H138+J138</f>
        <v>0</v>
      </c>
      <c r="L138" s="54">
        <f t="shared" si="45"/>
        <v>0</v>
      </c>
      <c r="M138" s="11"/>
    </row>
    <row r="139" spans="1:13" ht="15.75" x14ac:dyDescent="0.25">
      <c r="A139" s="35"/>
      <c r="B139" s="35"/>
      <c r="C139" s="41"/>
      <c r="D139" s="35"/>
      <c r="E139" s="35"/>
      <c r="F139" s="68"/>
      <c r="G139" s="52"/>
      <c r="H139" s="54"/>
      <c r="I139" s="54"/>
      <c r="J139" s="54"/>
      <c r="K139" s="133">
        <f t="shared" si="46"/>
        <v>0</v>
      </c>
      <c r="L139" s="54"/>
      <c r="M139" s="11"/>
    </row>
    <row r="140" spans="1:13" ht="32.25" thickBot="1" x14ac:dyDescent="0.3">
      <c r="A140" s="35">
        <v>2</v>
      </c>
      <c r="B140" s="35">
        <v>6</v>
      </c>
      <c r="C140" s="41"/>
      <c r="D140" s="35"/>
      <c r="E140" s="42"/>
      <c r="F140" s="69" t="s">
        <v>104</v>
      </c>
      <c r="G140" s="44">
        <f>G141+G149+G153</f>
        <v>0</v>
      </c>
      <c r="H140" s="44">
        <f>H141+H149+H153</f>
        <v>0</v>
      </c>
      <c r="I140" s="44">
        <f t="shared" ref="I140:L140" si="47">I141+I149+I153</f>
        <v>0</v>
      </c>
      <c r="J140" s="44">
        <f t="shared" si="47"/>
        <v>82491.72</v>
      </c>
      <c r="K140" s="44">
        <f t="shared" si="47"/>
        <v>82491.72</v>
      </c>
      <c r="L140" s="44">
        <f t="shared" si="47"/>
        <v>-82491.72</v>
      </c>
      <c r="M140" s="11"/>
    </row>
    <row r="141" spans="1:13" ht="16.5" thickBot="1" x14ac:dyDescent="0.3">
      <c r="A141" s="35">
        <v>2</v>
      </c>
      <c r="B141" s="35">
        <v>6</v>
      </c>
      <c r="C141" s="41">
        <v>1</v>
      </c>
      <c r="D141" s="35"/>
      <c r="E141" s="62"/>
      <c r="F141" s="69" t="s">
        <v>105</v>
      </c>
      <c r="G141" s="45">
        <f>G143+G144+G145+G147+G148</f>
        <v>0</v>
      </c>
      <c r="H141" s="97">
        <f>+H142+H143+H144+H145+H146+H147</f>
        <v>0</v>
      </c>
      <c r="I141" s="97">
        <f t="shared" ref="I141:L141" si="48">+I142+I143+I144+I145+I146+I147</f>
        <v>0</v>
      </c>
      <c r="J141" s="97">
        <f t="shared" si="48"/>
        <v>82491.72</v>
      </c>
      <c r="K141" s="97">
        <f>+K142+K143+K144+K145+K146+K147</f>
        <v>82491.72</v>
      </c>
      <c r="L141" s="97">
        <f t="shared" si="48"/>
        <v>-82491.72</v>
      </c>
      <c r="M141" s="11"/>
    </row>
    <row r="142" spans="1:13" ht="15.75" x14ac:dyDescent="0.25">
      <c r="A142" s="35">
        <v>2</v>
      </c>
      <c r="B142" s="35">
        <v>6</v>
      </c>
      <c r="C142" s="41">
        <v>8</v>
      </c>
      <c r="D142" s="35">
        <v>8</v>
      </c>
      <c r="E142" s="62"/>
      <c r="F142" s="74" t="s">
        <v>106</v>
      </c>
      <c r="G142" s="52">
        <f>G144+G145+G146+G148+G149</f>
        <v>0</v>
      </c>
      <c r="H142" s="66">
        <f>H144+H145+H146+H148+H149</f>
        <v>0</v>
      </c>
      <c r="I142" s="66">
        <f>+G142+H142</f>
        <v>0</v>
      </c>
      <c r="J142" s="66">
        <v>74106.720000000001</v>
      </c>
      <c r="K142" s="133">
        <f>+H142+J142</f>
        <v>74106.720000000001</v>
      </c>
      <c r="L142" s="66">
        <f>+G142-K142</f>
        <v>-74106.720000000001</v>
      </c>
      <c r="M142" s="11"/>
    </row>
    <row r="143" spans="1:13" ht="31.5" x14ac:dyDescent="0.25">
      <c r="A143" s="35">
        <v>2</v>
      </c>
      <c r="B143" s="35">
        <v>6</v>
      </c>
      <c r="C143" s="41">
        <v>1</v>
      </c>
      <c r="D143" s="35">
        <v>1</v>
      </c>
      <c r="E143" s="62"/>
      <c r="F143" s="68" t="s">
        <v>107</v>
      </c>
      <c r="G143" s="52"/>
      <c r="H143" s="54"/>
      <c r="I143" s="54">
        <f>+G143-H143</f>
        <v>0</v>
      </c>
      <c r="J143" s="54"/>
      <c r="K143" s="133">
        <f>+H143+J143</f>
        <v>0</v>
      </c>
      <c r="L143" s="54">
        <f>+G143-K143</f>
        <v>0</v>
      </c>
      <c r="M143" s="11"/>
    </row>
    <row r="144" spans="1:13" ht="15.75" x14ac:dyDescent="0.25">
      <c r="A144" s="35">
        <v>2</v>
      </c>
      <c r="B144" s="35">
        <v>6</v>
      </c>
      <c r="C144" s="41">
        <v>1</v>
      </c>
      <c r="D144" s="35">
        <v>4</v>
      </c>
      <c r="E144" s="62"/>
      <c r="F144" s="68" t="s">
        <v>108</v>
      </c>
      <c r="G144" s="52"/>
      <c r="H144" s="54"/>
      <c r="I144" s="54">
        <f>+G144-H144</f>
        <v>0</v>
      </c>
      <c r="J144" s="54"/>
      <c r="K144" s="133">
        <f t="shared" ref="K144:K148" si="49">+H144+J144</f>
        <v>0</v>
      </c>
      <c r="L144" s="54">
        <f t="shared" ref="L144:L147" si="50">+G144-K144</f>
        <v>0</v>
      </c>
      <c r="M144" s="11"/>
    </row>
    <row r="145" spans="1:13" ht="24.75" customHeight="1" x14ac:dyDescent="0.25">
      <c r="A145" s="35">
        <v>2</v>
      </c>
      <c r="B145" s="35">
        <v>6</v>
      </c>
      <c r="C145" s="41">
        <v>1</v>
      </c>
      <c r="D145" s="35">
        <v>7</v>
      </c>
      <c r="E145" s="62"/>
      <c r="F145" s="68" t="s">
        <v>109</v>
      </c>
      <c r="G145" s="52"/>
      <c r="H145" s="54">
        <v>0</v>
      </c>
      <c r="I145" s="54">
        <f>+G145-H145</f>
        <v>0</v>
      </c>
      <c r="J145" s="54">
        <v>0</v>
      </c>
      <c r="K145" s="133">
        <f t="shared" si="49"/>
        <v>0</v>
      </c>
      <c r="L145" s="54">
        <f t="shared" si="50"/>
        <v>0</v>
      </c>
      <c r="M145" s="11"/>
    </row>
    <row r="146" spans="1:13" ht="15.75" x14ac:dyDescent="0.25">
      <c r="A146" s="35">
        <v>2</v>
      </c>
      <c r="B146" s="35">
        <v>6</v>
      </c>
      <c r="C146" s="41">
        <v>1</v>
      </c>
      <c r="D146" s="35">
        <v>8</v>
      </c>
      <c r="E146" s="62"/>
      <c r="F146" s="68" t="s">
        <v>110</v>
      </c>
      <c r="G146" s="52"/>
      <c r="H146" s="54"/>
      <c r="I146" s="54">
        <f>+G146-H146</f>
        <v>0</v>
      </c>
      <c r="J146" s="54"/>
      <c r="K146" s="133">
        <f t="shared" si="49"/>
        <v>0</v>
      </c>
      <c r="L146" s="54">
        <f t="shared" si="50"/>
        <v>0</v>
      </c>
      <c r="M146" s="11"/>
    </row>
    <row r="147" spans="1:13" ht="31.5" x14ac:dyDescent="0.25">
      <c r="A147" s="35">
        <v>2</v>
      </c>
      <c r="B147" s="35">
        <v>6</v>
      </c>
      <c r="C147" s="41">
        <v>1</v>
      </c>
      <c r="D147" s="35">
        <v>9</v>
      </c>
      <c r="E147" s="62"/>
      <c r="F147" s="68" t="s">
        <v>111</v>
      </c>
      <c r="G147" s="52"/>
      <c r="H147" s="54"/>
      <c r="I147" s="54">
        <f>+G147-H147</f>
        <v>0</v>
      </c>
      <c r="J147" s="54">
        <v>8385</v>
      </c>
      <c r="K147" s="133">
        <f t="shared" si="49"/>
        <v>8385</v>
      </c>
      <c r="L147" s="54">
        <f t="shared" si="50"/>
        <v>-8385</v>
      </c>
      <c r="M147" s="11"/>
    </row>
    <row r="148" spans="1:13" ht="15.75" x14ac:dyDescent="0.25">
      <c r="A148" s="35"/>
      <c r="B148" s="35"/>
      <c r="C148" s="41"/>
      <c r="D148" s="35"/>
      <c r="E148" s="42"/>
      <c r="F148" s="69"/>
      <c r="G148" s="67"/>
      <c r="H148" s="44"/>
      <c r="I148" s="44"/>
      <c r="J148" s="44"/>
      <c r="K148" s="133">
        <f t="shared" si="49"/>
        <v>0</v>
      </c>
      <c r="L148" s="44"/>
      <c r="M148" s="11"/>
    </row>
    <row r="149" spans="1:13" ht="32.25" thickBot="1" x14ac:dyDescent="0.3">
      <c r="A149" s="35">
        <v>2</v>
      </c>
      <c r="B149" s="35">
        <v>6</v>
      </c>
      <c r="C149" s="41">
        <v>2</v>
      </c>
      <c r="D149" s="35"/>
      <c r="E149" s="42"/>
      <c r="F149" s="69" t="s">
        <v>112</v>
      </c>
      <c r="G149" s="43">
        <f>G150+G151</f>
        <v>0</v>
      </c>
      <c r="H149" s="60"/>
      <c r="I149" s="43">
        <f t="shared" ref="I149:L149" si="51">I150+I151</f>
        <v>0</v>
      </c>
      <c r="J149" s="43">
        <f t="shared" si="51"/>
        <v>0</v>
      </c>
      <c r="K149" s="43">
        <f t="shared" si="51"/>
        <v>0</v>
      </c>
      <c r="L149" s="43">
        <f t="shared" si="51"/>
        <v>0</v>
      </c>
      <c r="M149" s="11"/>
    </row>
    <row r="150" spans="1:13" ht="15.75" x14ac:dyDescent="0.25">
      <c r="A150" s="35">
        <v>2</v>
      </c>
      <c r="B150" s="35">
        <v>6</v>
      </c>
      <c r="C150" s="41">
        <v>2</v>
      </c>
      <c r="D150" s="35">
        <v>1</v>
      </c>
      <c r="E150" s="62"/>
      <c r="F150" s="68" t="s">
        <v>113</v>
      </c>
      <c r="G150" s="52"/>
      <c r="H150" s="54">
        <v>0</v>
      </c>
      <c r="I150" s="54">
        <f>+G150-H150</f>
        <v>0</v>
      </c>
      <c r="J150" s="54">
        <v>0</v>
      </c>
      <c r="K150" s="133">
        <f>+H150+J150</f>
        <v>0</v>
      </c>
      <c r="L150" s="53">
        <f>+G150-K150</f>
        <v>0</v>
      </c>
      <c r="M150" s="11"/>
    </row>
    <row r="151" spans="1:13" ht="31.5" customHeight="1" x14ac:dyDescent="0.25">
      <c r="A151" s="35">
        <v>2</v>
      </c>
      <c r="B151" s="35">
        <v>6</v>
      </c>
      <c r="C151" s="41">
        <v>2</v>
      </c>
      <c r="D151" s="35">
        <v>3</v>
      </c>
      <c r="E151" s="62"/>
      <c r="F151" s="68" t="s">
        <v>114</v>
      </c>
      <c r="G151" s="52"/>
      <c r="H151" s="54">
        <f>G151*12</f>
        <v>0</v>
      </c>
      <c r="I151" s="54">
        <f>+G151-H151</f>
        <v>0</v>
      </c>
      <c r="J151" s="54">
        <f>I151*12</f>
        <v>0</v>
      </c>
      <c r="K151" s="133">
        <f>+H151+J151</f>
        <v>0</v>
      </c>
      <c r="L151" s="54">
        <f>+G151-K151</f>
        <v>0</v>
      </c>
      <c r="M151" s="11"/>
    </row>
    <row r="152" spans="1:13" ht="15.75" x14ac:dyDescent="0.25">
      <c r="A152" s="35"/>
      <c r="B152" s="35"/>
      <c r="C152" s="41"/>
      <c r="D152" s="35"/>
      <c r="E152" s="42"/>
      <c r="F152" s="69"/>
      <c r="G152" s="67"/>
      <c r="H152" s="44"/>
      <c r="I152" s="44"/>
      <c r="J152" s="44"/>
      <c r="K152" s="134"/>
      <c r="L152" s="54">
        <f>+G152-K152</f>
        <v>0</v>
      </c>
      <c r="M152" s="11"/>
    </row>
    <row r="153" spans="1:13" ht="32.25" thickBot="1" x14ac:dyDescent="0.3">
      <c r="A153" s="35">
        <v>2</v>
      </c>
      <c r="B153" s="35">
        <v>6</v>
      </c>
      <c r="C153" s="41">
        <v>4</v>
      </c>
      <c r="D153" s="35"/>
      <c r="E153" s="42"/>
      <c r="F153" s="69" t="s">
        <v>115</v>
      </c>
      <c r="G153" s="67">
        <f>G155+G156+G154</f>
        <v>0</v>
      </c>
      <c r="H153" s="54">
        <f>H154+H155</f>
        <v>0</v>
      </c>
      <c r="I153" s="54">
        <f t="shared" ref="I153:L153" si="52">I154+I155</f>
        <v>0</v>
      </c>
      <c r="J153" s="54">
        <f t="shared" si="52"/>
        <v>0</v>
      </c>
      <c r="K153" s="54">
        <f t="shared" si="52"/>
        <v>0</v>
      </c>
      <c r="L153" s="54">
        <f t="shared" si="52"/>
        <v>0</v>
      </c>
      <c r="M153" s="11"/>
    </row>
    <row r="154" spans="1:13" ht="31.5" x14ac:dyDescent="0.25">
      <c r="A154" s="35">
        <v>2</v>
      </c>
      <c r="B154" s="35">
        <v>6</v>
      </c>
      <c r="C154" s="41">
        <v>4</v>
      </c>
      <c r="D154" s="35"/>
      <c r="E154" s="42"/>
      <c r="F154" s="68" t="s">
        <v>115</v>
      </c>
      <c r="G154" s="47"/>
      <c r="H154" s="53">
        <v>0</v>
      </c>
      <c r="I154" s="53">
        <f>+G154-H154</f>
        <v>0</v>
      </c>
      <c r="J154" s="53">
        <v>0</v>
      </c>
      <c r="K154" s="131">
        <f>+H154+J154</f>
        <v>0</v>
      </c>
      <c r="L154" s="53">
        <f>+G154-K154</f>
        <v>0</v>
      </c>
      <c r="M154" s="11"/>
    </row>
    <row r="155" spans="1:13" ht="15.75" x14ac:dyDescent="0.25">
      <c r="A155" s="35">
        <v>2</v>
      </c>
      <c r="B155" s="35">
        <v>6</v>
      </c>
      <c r="C155" s="41">
        <v>4</v>
      </c>
      <c r="D155" s="35">
        <v>1</v>
      </c>
      <c r="E155" s="35"/>
      <c r="F155" s="68" t="s">
        <v>116</v>
      </c>
      <c r="G155" s="52"/>
      <c r="H155" s="54">
        <v>0</v>
      </c>
      <c r="I155" s="54">
        <f>+G155-H155</f>
        <v>0</v>
      </c>
      <c r="J155" s="54">
        <v>0</v>
      </c>
      <c r="K155" s="133">
        <f>+H155+J155</f>
        <v>0</v>
      </c>
      <c r="L155" s="54">
        <f>+G155-K155</f>
        <v>0</v>
      </c>
      <c r="M155" s="11"/>
    </row>
    <row r="156" spans="1:13" ht="15.75" x14ac:dyDescent="0.25">
      <c r="A156" s="35">
        <v>2</v>
      </c>
      <c r="B156" s="35">
        <v>6</v>
      </c>
      <c r="C156" s="41">
        <v>4</v>
      </c>
      <c r="D156" s="35">
        <v>7</v>
      </c>
      <c r="E156" s="35"/>
      <c r="F156" s="68" t="s">
        <v>117</v>
      </c>
      <c r="G156" s="52">
        <v>0</v>
      </c>
      <c r="H156" s="54">
        <v>0</v>
      </c>
      <c r="I156" s="54">
        <v>0</v>
      </c>
      <c r="J156" s="54">
        <v>0</v>
      </c>
      <c r="K156" s="133">
        <f>+H156+J156</f>
        <v>0</v>
      </c>
      <c r="L156" s="54">
        <f>+G156-K156</f>
        <v>0</v>
      </c>
      <c r="M156" s="11"/>
    </row>
    <row r="157" spans="1:13" ht="16.5" thickBot="1" x14ac:dyDescent="0.3">
      <c r="A157" s="35"/>
      <c r="B157" s="35"/>
      <c r="C157" s="41"/>
      <c r="D157" s="34"/>
      <c r="E157" s="35"/>
      <c r="F157" s="68"/>
      <c r="G157" s="55"/>
      <c r="H157" s="60"/>
      <c r="I157" s="60"/>
      <c r="J157" s="60"/>
      <c r="K157" s="143"/>
      <c r="L157" s="60"/>
      <c r="M157" s="11"/>
    </row>
    <row r="158" spans="1:13" ht="16.5" thickBot="1" x14ac:dyDescent="0.3">
      <c r="A158" s="75"/>
      <c r="B158" s="75"/>
      <c r="C158" s="76"/>
      <c r="D158" s="77"/>
      <c r="E158" s="77"/>
      <c r="F158" s="78" t="s">
        <v>118</v>
      </c>
      <c r="G158" s="43">
        <f>G114+G53+G13</f>
        <v>90000000</v>
      </c>
      <c r="H158" s="43">
        <f>H114+H53+H13</f>
        <v>4741519.1899999995</v>
      </c>
      <c r="I158" s="43">
        <f t="shared" ref="I158:L158" si="53">I114+I53+I13</f>
        <v>66097722.68</v>
      </c>
      <c r="J158" s="43">
        <f>J114+J53+J13</f>
        <v>5862321.1899999995</v>
      </c>
      <c r="K158" s="43">
        <f t="shared" si="53"/>
        <v>10603840.380000001</v>
      </c>
      <c r="L158" s="43">
        <f t="shared" si="53"/>
        <v>79396159.620000005</v>
      </c>
      <c r="M158" s="11"/>
    </row>
    <row r="159" spans="1:13" ht="15.75" x14ac:dyDescent="0.25">
      <c r="A159" s="100"/>
      <c r="B159" s="100"/>
      <c r="C159" s="101"/>
      <c r="D159" s="101"/>
      <c r="E159" s="101"/>
      <c r="F159" s="102"/>
      <c r="G159" s="103"/>
      <c r="H159" s="103"/>
      <c r="I159" s="103"/>
      <c r="M159" s="11"/>
    </row>
    <row r="160" spans="1:13" ht="15.75" x14ac:dyDescent="0.25">
      <c r="A160" s="100"/>
      <c r="B160" s="100"/>
      <c r="C160" s="101"/>
      <c r="D160" s="101"/>
      <c r="E160" s="101"/>
      <c r="F160" s="102"/>
      <c r="G160" s="103"/>
      <c r="H160" s="103"/>
      <c r="I160" s="103"/>
      <c r="M160" s="11"/>
    </row>
    <row r="161" spans="1:13" ht="15.75" x14ac:dyDescent="0.25">
      <c r="A161" s="100"/>
      <c r="B161" s="100"/>
      <c r="C161" s="101"/>
      <c r="D161" s="101"/>
      <c r="E161" s="101"/>
      <c r="F161" s="102"/>
      <c r="G161" s="103"/>
      <c r="H161" s="103"/>
      <c r="I161" s="103"/>
      <c r="M161" s="11"/>
    </row>
    <row r="162" spans="1:13" ht="18" x14ac:dyDescent="0.25">
      <c r="A162" s="79"/>
      <c r="B162" s="79"/>
      <c r="C162" s="24"/>
      <c r="D162" s="24"/>
      <c r="E162" s="80"/>
      <c r="F162" s="81"/>
      <c r="G162" s="82"/>
      <c r="H162" s="83"/>
      <c r="I162" s="16"/>
      <c r="L162" s="151"/>
      <c r="M162" s="11"/>
    </row>
    <row r="163" spans="1:13" ht="18.75" thickBot="1" x14ac:dyDescent="0.3">
      <c r="A163" s="22"/>
      <c r="B163" s="22"/>
      <c r="C163" s="22"/>
      <c r="D163" s="22"/>
      <c r="E163" s="22"/>
      <c r="F163" s="81"/>
      <c r="G163" s="84"/>
      <c r="H163" s="84"/>
      <c r="I163" s="17"/>
      <c r="J163" s="151"/>
      <c r="M163" s="11"/>
    </row>
    <row r="164" spans="1:13" ht="18.75" x14ac:dyDescent="0.3">
      <c r="A164" s="22"/>
      <c r="B164" s="22"/>
      <c r="C164" s="22"/>
      <c r="D164" s="22"/>
      <c r="E164" s="22"/>
      <c r="F164" s="85" t="s">
        <v>119</v>
      </c>
      <c r="G164" s="84"/>
      <c r="H164" s="84"/>
      <c r="I164" s="15"/>
      <c r="J164" s="151"/>
      <c r="K164" s="152"/>
      <c r="L164" s="151"/>
      <c r="M164" s="11"/>
    </row>
    <row r="165" spans="1:13" ht="18.75" x14ac:dyDescent="0.3">
      <c r="A165" s="22"/>
      <c r="B165" s="22"/>
      <c r="C165" s="22"/>
      <c r="D165" s="22"/>
      <c r="E165" s="22"/>
      <c r="F165" s="81" t="s">
        <v>120</v>
      </c>
      <c r="G165" s="86"/>
      <c r="H165" s="84"/>
      <c r="I165" s="15"/>
      <c r="M165" s="11"/>
    </row>
    <row r="166" spans="1:13" ht="18.75" x14ac:dyDescent="0.3">
      <c r="A166" s="22"/>
      <c r="B166" s="22"/>
      <c r="C166" s="22"/>
      <c r="D166" s="22"/>
      <c r="E166" s="22"/>
      <c r="F166" s="81"/>
      <c r="G166" s="86"/>
      <c r="H166" s="84"/>
      <c r="I166" s="99"/>
      <c r="K166" s="152"/>
      <c r="M166" s="11"/>
    </row>
    <row r="167" spans="1:13" ht="18.75" x14ac:dyDescent="0.3">
      <c r="A167" s="22"/>
      <c r="B167" s="22"/>
      <c r="C167" s="22"/>
      <c r="D167" s="22"/>
      <c r="E167" s="22"/>
      <c r="F167" s="81"/>
      <c r="G167" s="86"/>
      <c r="H167" s="84"/>
      <c r="I167" s="99"/>
      <c r="K167" s="152"/>
      <c r="M167" s="11"/>
    </row>
    <row r="168" spans="1:13" ht="18.75" x14ac:dyDescent="0.3">
      <c r="A168" s="22"/>
      <c r="B168" s="22"/>
      <c r="C168" s="22"/>
      <c r="D168" s="22"/>
      <c r="E168" s="22"/>
      <c r="F168" s="81"/>
      <c r="G168" s="86"/>
      <c r="H168" s="84"/>
      <c r="I168" s="99"/>
      <c r="K168" s="152"/>
      <c r="M168" s="11"/>
    </row>
    <row r="169" spans="1:13" ht="18.75" x14ac:dyDescent="0.3">
      <c r="A169" s="22"/>
      <c r="B169" s="22"/>
      <c r="C169" s="22"/>
      <c r="D169" s="22"/>
      <c r="E169" s="22"/>
      <c r="F169" s="81"/>
      <c r="G169" s="86"/>
      <c r="H169" s="11"/>
      <c r="I169" s="19"/>
      <c r="J169" s="151"/>
      <c r="K169" s="151"/>
      <c r="M169" s="11"/>
    </row>
    <row r="170" spans="1:13" ht="18.75" x14ac:dyDescent="0.3">
      <c r="A170" s="22"/>
      <c r="B170" s="22"/>
      <c r="C170" s="22"/>
      <c r="D170" s="22"/>
      <c r="E170" s="22"/>
      <c r="F170" s="81"/>
      <c r="G170" s="86"/>
      <c r="H170" s="11"/>
      <c r="I170" s="19"/>
      <c r="J170" s="151"/>
      <c r="M170" s="11"/>
    </row>
    <row r="171" spans="1:13" ht="19.5" thickBot="1" x14ac:dyDescent="0.35">
      <c r="A171" s="22"/>
      <c r="B171" s="22"/>
      <c r="C171" s="22"/>
      <c r="D171" s="22"/>
      <c r="E171" s="22"/>
      <c r="F171" s="89"/>
      <c r="G171" s="86"/>
      <c r="H171" s="11"/>
      <c r="I171" s="19"/>
      <c r="M171" s="11"/>
    </row>
    <row r="172" spans="1:13" ht="18" x14ac:dyDescent="0.25">
      <c r="A172" s="22"/>
      <c r="B172" s="22"/>
      <c r="C172" s="22"/>
      <c r="D172" s="22"/>
      <c r="E172" s="22"/>
      <c r="F172" s="81" t="s">
        <v>129</v>
      </c>
      <c r="G172" s="87"/>
      <c r="H172" s="11"/>
      <c r="I172" s="16"/>
      <c r="M172" s="11"/>
    </row>
    <row r="173" spans="1:13" ht="18" x14ac:dyDescent="0.25">
      <c r="A173" s="22"/>
      <c r="B173" s="22"/>
      <c r="C173" s="22"/>
      <c r="D173" s="22"/>
      <c r="E173" s="22"/>
      <c r="F173" s="81" t="s">
        <v>121</v>
      </c>
      <c r="G173" s="87"/>
      <c r="H173" s="11"/>
      <c r="I173" s="16"/>
      <c r="M173" s="11"/>
    </row>
    <row r="174" spans="1:13" ht="18" x14ac:dyDescent="0.25">
      <c r="A174" s="22"/>
      <c r="B174" s="22"/>
      <c r="C174" s="22"/>
      <c r="D174" s="22"/>
      <c r="E174" s="22"/>
      <c r="F174" s="81"/>
      <c r="G174" s="87"/>
      <c r="H174" s="11"/>
      <c r="I174" s="16"/>
      <c r="M174" s="11"/>
    </row>
    <row r="175" spans="1:13" ht="18" x14ac:dyDescent="0.25">
      <c r="A175" s="22"/>
      <c r="B175" s="22"/>
      <c r="C175" s="22"/>
      <c r="D175" s="22"/>
      <c r="E175" s="22"/>
      <c r="F175" s="81"/>
      <c r="G175" s="87"/>
      <c r="H175" s="11"/>
      <c r="I175" s="16"/>
      <c r="M175" s="11"/>
    </row>
    <row r="176" spans="1:13" ht="18" x14ac:dyDescent="0.25">
      <c r="A176" s="22"/>
      <c r="B176" s="22"/>
      <c r="C176" s="22"/>
      <c r="D176" s="22"/>
      <c r="E176" s="22"/>
      <c r="F176" s="81"/>
      <c r="G176" s="88"/>
      <c r="H176" s="11"/>
      <c r="I176" s="20"/>
      <c r="M176" s="11"/>
    </row>
    <row r="177" spans="1:13" ht="15.75" x14ac:dyDescent="0.25">
      <c r="A177" s="22"/>
      <c r="B177" s="22"/>
      <c r="C177" s="22"/>
      <c r="D177" s="22"/>
      <c r="E177" s="22"/>
      <c r="F177" s="79"/>
      <c r="G177" s="88"/>
      <c r="H177" s="11"/>
      <c r="I177" s="20"/>
      <c r="M177" s="11"/>
    </row>
    <row r="178" spans="1:13" ht="18.75" thickBot="1" x14ac:dyDescent="0.3">
      <c r="A178" s="22"/>
      <c r="B178" s="22"/>
      <c r="C178" s="22"/>
      <c r="D178" s="22"/>
      <c r="E178" s="22"/>
      <c r="F178" s="89"/>
      <c r="G178" s="81"/>
      <c r="H178" s="90"/>
      <c r="I178" s="18"/>
      <c r="M178" s="11"/>
    </row>
    <row r="179" spans="1:13" ht="18" x14ac:dyDescent="0.25">
      <c r="A179" s="22"/>
      <c r="B179" s="22"/>
      <c r="C179" s="22"/>
      <c r="D179" s="91"/>
      <c r="E179" s="22"/>
      <c r="F179" s="81" t="s">
        <v>122</v>
      </c>
      <c r="G179" s="91"/>
      <c r="H179" s="90"/>
      <c r="I179" s="18"/>
      <c r="M179" s="11"/>
    </row>
    <row r="180" spans="1:13" ht="18" x14ac:dyDescent="0.25">
      <c r="A180" s="22"/>
      <c r="B180" s="22"/>
      <c r="C180" s="22"/>
      <c r="D180" s="22"/>
      <c r="E180" s="22"/>
      <c r="F180" s="81" t="s">
        <v>123</v>
      </c>
      <c r="G180" s="22"/>
      <c r="H180" s="92"/>
      <c r="I180" s="21"/>
      <c r="M180" s="11"/>
    </row>
    <row r="181" spans="1:13" ht="18" x14ac:dyDescent="0.25">
      <c r="A181" s="22"/>
      <c r="B181" s="22"/>
      <c r="C181" s="22"/>
      <c r="D181" s="22"/>
      <c r="E181" s="22"/>
      <c r="F181" s="81"/>
      <c r="G181" s="22"/>
      <c r="H181" s="92"/>
      <c r="I181" s="21"/>
      <c r="M181" s="11"/>
    </row>
    <row r="182" spans="1:13" x14ac:dyDescent="0.25">
      <c r="A182" s="22"/>
      <c r="B182" s="22"/>
      <c r="C182" s="22"/>
      <c r="D182" s="22"/>
      <c r="E182" s="22"/>
      <c r="F182" s="22"/>
      <c r="G182" s="22"/>
      <c r="H182" s="92"/>
      <c r="I182" s="21"/>
      <c r="M182" s="11"/>
    </row>
    <row r="183" spans="1:13" x14ac:dyDescent="0.25">
      <c r="A183" s="22"/>
      <c r="B183" s="22"/>
      <c r="C183" s="22"/>
      <c r="D183" s="22"/>
      <c r="E183" s="22"/>
      <c r="F183" s="22"/>
      <c r="G183" s="22"/>
      <c r="H183" s="92"/>
      <c r="I183" s="11"/>
      <c r="M183" s="11"/>
    </row>
    <row r="184" spans="1:13" x14ac:dyDescent="0.25">
      <c r="A184" s="22"/>
      <c r="B184" s="22"/>
      <c r="C184" s="22"/>
      <c r="D184" s="22"/>
      <c r="E184" s="22"/>
      <c r="F184" s="22"/>
      <c r="G184" s="22"/>
      <c r="H184" s="92"/>
      <c r="I184" s="11"/>
      <c r="M184" s="11"/>
    </row>
    <row r="185" spans="1:13" x14ac:dyDescent="0.25">
      <c r="A185" s="22"/>
      <c r="B185" s="22"/>
      <c r="C185" s="22"/>
      <c r="D185" s="22"/>
      <c r="E185" s="22"/>
      <c r="G185" s="22"/>
      <c r="H185" s="92"/>
      <c r="I185" s="11"/>
      <c r="M185" s="11"/>
    </row>
    <row r="186" spans="1:13" x14ac:dyDescent="0.25">
      <c r="A186" s="22"/>
      <c r="B186" s="22"/>
      <c r="C186" s="22"/>
      <c r="D186" s="22"/>
      <c r="E186" s="22"/>
      <c r="G186" s="22"/>
      <c r="H186" s="23"/>
      <c r="I186" s="11"/>
      <c r="M186" s="11"/>
    </row>
    <row r="187" spans="1:13" ht="18" x14ac:dyDescent="0.25">
      <c r="A187" s="22"/>
      <c r="B187" s="22"/>
      <c r="C187" s="22"/>
      <c r="D187" s="22"/>
      <c r="E187" s="22"/>
      <c r="F187" s="81"/>
      <c r="G187" s="22"/>
      <c r="H187" s="23"/>
      <c r="I187" s="11"/>
      <c r="M187" s="11"/>
    </row>
    <row r="188" spans="1:13" x14ac:dyDescent="0.25">
      <c r="A188" s="22"/>
      <c r="B188" s="22"/>
      <c r="C188" s="22"/>
      <c r="D188" s="22"/>
      <c r="E188" s="22"/>
      <c r="F188" s="22"/>
      <c r="G188" s="22"/>
      <c r="H188" s="23"/>
      <c r="I188" s="11"/>
      <c r="M188" s="11"/>
    </row>
    <row r="189" spans="1:13" x14ac:dyDescent="0.25">
      <c r="A189" s="22"/>
      <c r="B189" s="22"/>
      <c r="C189" s="22"/>
      <c r="D189" s="22"/>
      <c r="E189" s="22"/>
      <c r="F189" s="22"/>
      <c r="G189" s="22"/>
      <c r="H189" s="23"/>
      <c r="I189" s="11"/>
      <c r="M189" s="11"/>
    </row>
    <row r="190" spans="1:13" x14ac:dyDescent="0.25">
      <c r="A190" s="22"/>
      <c r="B190" s="22"/>
      <c r="C190" s="22"/>
      <c r="D190" s="22"/>
      <c r="E190" s="22"/>
      <c r="F190" s="22"/>
      <c r="G190" s="22"/>
      <c r="H190" s="23"/>
      <c r="I190" s="11"/>
      <c r="M190" s="11"/>
    </row>
    <row r="191" spans="1:13" x14ac:dyDescent="0.25">
      <c r="I191" s="11"/>
      <c r="M191" s="11"/>
    </row>
    <row r="192" spans="1:13" x14ac:dyDescent="0.25">
      <c r="I192" s="11"/>
      <c r="M192" s="11"/>
    </row>
    <row r="193" spans="9:13" x14ac:dyDescent="0.25">
      <c r="I193" s="11"/>
      <c r="M193" s="11"/>
    </row>
    <row r="194" spans="9:13" x14ac:dyDescent="0.25">
      <c r="I194" s="11"/>
      <c r="M194" s="11"/>
    </row>
    <row r="195" spans="9:13" x14ac:dyDescent="0.25">
      <c r="I195" s="11"/>
      <c r="M195" s="11"/>
    </row>
    <row r="196" spans="9:13" x14ac:dyDescent="0.25">
      <c r="I196" s="11"/>
      <c r="M196" s="11"/>
    </row>
    <row r="197" spans="9:13" x14ac:dyDescent="0.25">
      <c r="I197" s="11"/>
      <c r="M197" s="11"/>
    </row>
    <row r="198" spans="9:13" x14ac:dyDescent="0.25">
      <c r="I198" s="11"/>
      <c r="M198" s="11"/>
    </row>
    <row r="199" spans="9:13" x14ac:dyDescent="0.25">
      <c r="I199" s="11"/>
      <c r="M199" s="11"/>
    </row>
    <row r="200" spans="9:13" x14ac:dyDescent="0.25">
      <c r="I200" s="11"/>
      <c r="M200" s="11"/>
    </row>
    <row r="201" spans="9:13" x14ac:dyDescent="0.25">
      <c r="I201" s="11"/>
      <c r="M201" s="11"/>
    </row>
    <row r="202" spans="9:13" x14ac:dyDescent="0.25">
      <c r="I202" s="11"/>
      <c r="M202" s="11"/>
    </row>
    <row r="203" spans="9:13" x14ac:dyDescent="0.25">
      <c r="I203" s="11"/>
      <c r="M203" s="11"/>
    </row>
    <row r="204" spans="9:13" x14ac:dyDescent="0.25">
      <c r="I204" s="11"/>
      <c r="M204" s="11"/>
    </row>
    <row r="205" spans="9:13" x14ac:dyDescent="0.25">
      <c r="I205" s="11"/>
      <c r="M205" s="11"/>
    </row>
    <row r="206" spans="9:13" x14ac:dyDescent="0.25">
      <c r="I206" s="11"/>
      <c r="M206" s="11"/>
    </row>
    <row r="207" spans="9:13" x14ac:dyDescent="0.25">
      <c r="I207" s="11"/>
      <c r="M207" s="11"/>
    </row>
    <row r="208" spans="9:13" x14ac:dyDescent="0.25">
      <c r="I208" s="11"/>
      <c r="M208" s="11"/>
    </row>
    <row r="209" spans="9:13" x14ac:dyDescent="0.25">
      <c r="I209" s="11"/>
      <c r="M209" s="11"/>
    </row>
    <row r="210" spans="9:13" x14ac:dyDescent="0.25">
      <c r="I210" s="11"/>
      <c r="M210" s="11"/>
    </row>
    <row r="211" spans="9:13" x14ac:dyDescent="0.25">
      <c r="I211" s="11"/>
      <c r="M211" s="11"/>
    </row>
    <row r="212" spans="9:13" x14ac:dyDescent="0.25">
      <c r="I212" s="11"/>
      <c r="M212" s="11"/>
    </row>
    <row r="213" spans="9:13" x14ac:dyDescent="0.25">
      <c r="I213" s="11"/>
      <c r="M213" s="11"/>
    </row>
    <row r="214" spans="9:13" x14ac:dyDescent="0.25">
      <c r="I214" s="11"/>
      <c r="M214" s="11"/>
    </row>
    <row r="215" spans="9:13" x14ac:dyDescent="0.25">
      <c r="I215" s="11"/>
      <c r="M215" s="11"/>
    </row>
    <row r="216" spans="9:13" x14ac:dyDescent="0.25">
      <c r="I216" s="11"/>
      <c r="M216" s="11"/>
    </row>
    <row r="217" spans="9:13" x14ac:dyDescent="0.25">
      <c r="I217" s="11"/>
      <c r="M217" s="11"/>
    </row>
    <row r="218" spans="9:13" x14ac:dyDescent="0.25">
      <c r="I218" s="11"/>
      <c r="M218" s="11"/>
    </row>
    <row r="219" spans="9:13" x14ac:dyDescent="0.25">
      <c r="I219" s="11"/>
      <c r="M219" s="11"/>
    </row>
    <row r="220" spans="9:13" x14ac:dyDescent="0.25">
      <c r="I220" s="11"/>
      <c r="M220" s="11"/>
    </row>
    <row r="221" spans="9:13" x14ac:dyDescent="0.25">
      <c r="I221" s="11"/>
      <c r="M221" s="11"/>
    </row>
    <row r="222" spans="9:13" x14ac:dyDescent="0.25">
      <c r="I222" s="11"/>
      <c r="M222" s="11"/>
    </row>
    <row r="223" spans="9:13" x14ac:dyDescent="0.25">
      <c r="I223" s="11"/>
      <c r="M223" s="11"/>
    </row>
    <row r="224" spans="9:13" x14ac:dyDescent="0.25">
      <c r="I224" s="11"/>
      <c r="M224" s="11"/>
    </row>
    <row r="225" spans="9:13" x14ac:dyDescent="0.25">
      <c r="I225" s="11"/>
      <c r="M225" s="11"/>
    </row>
    <row r="226" spans="9:13" x14ac:dyDescent="0.25">
      <c r="I226" s="11"/>
      <c r="M226" s="11"/>
    </row>
    <row r="227" spans="9:13" x14ac:dyDescent="0.25">
      <c r="I227" s="11"/>
      <c r="M227" s="11"/>
    </row>
    <row r="228" spans="9:13" x14ac:dyDescent="0.25">
      <c r="I228" s="11"/>
      <c r="M228" s="11"/>
    </row>
    <row r="229" spans="9:13" x14ac:dyDescent="0.25">
      <c r="I229" s="11"/>
      <c r="M229" s="11"/>
    </row>
    <row r="230" spans="9:13" x14ac:dyDescent="0.25">
      <c r="I230" s="11"/>
      <c r="M230" s="11"/>
    </row>
    <row r="231" spans="9:13" x14ac:dyDescent="0.25">
      <c r="I231" s="11"/>
      <c r="M231" s="11"/>
    </row>
    <row r="232" spans="9:13" x14ac:dyDescent="0.25">
      <c r="I232" s="11"/>
      <c r="M232" s="11"/>
    </row>
    <row r="233" spans="9:13" x14ac:dyDescent="0.25">
      <c r="I233" s="11"/>
      <c r="M233" s="11"/>
    </row>
    <row r="234" spans="9:13" x14ac:dyDescent="0.25">
      <c r="I234" s="11"/>
      <c r="M234" s="11"/>
    </row>
    <row r="235" spans="9:13" x14ac:dyDescent="0.25">
      <c r="I235" s="11"/>
      <c r="M235" s="11"/>
    </row>
    <row r="236" spans="9:13" x14ac:dyDescent="0.25">
      <c r="I236" s="11"/>
      <c r="M236" s="11"/>
    </row>
    <row r="237" spans="9:13" x14ac:dyDescent="0.25">
      <c r="I237" s="11"/>
      <c r="M237" s="11"/>
    </row>
    <row r="238" spans="9:13" x14ac:dyDescent="0.25">
      <c r="I238" s="11"/>
      <c r="M238" s="11"/>
    </row>
    <row r="239" spans="9:13" x14ac:dyDescent="0.25">
      <c r="I239" s="11"/>
      <c r="M239" s="11"/>
    </row>
    <row r="240" spans="9:13" x14ac:dyDescent="0.25">
      <c r="I240" s="11"/>
      <c r="M240" s="11"/>
    </row>
    <row r="241" spans="9:13" x14ac:dyDescent="0.25">
      <c r="I241" s="11"/>
      <c r="M241" s="11"/>
    </row>
    <row r="242" spans="9:13" x14ac:dyDescent="0.25">
      <c r="I242" s="11"/>
      <c r="M242" s="11"/>
    </row>
    <row r="243" spans="9:13" x14ac:dyDescent="0.25">
      <c r="I243" s="11"/>
      <c r="M243" s="11"/>
    </row>
    <row r="244" spans="9:13" x14ac:dyDescent="0.25">
      <c r="I244" s="11"/>
      <c r="M244" s="11"/>
    </row>
    <row r="245" spans="9:13" x14ac:dyDescent="0.25">
      <c r="I245" s="11"/>
      <c r="M245" s="11"/>
    </row>
    <row r="246" spans="9:13" x14ac:dyDescent="0.25">
      <c r="I246" s="11"/>
      <c r="M246" s="11"/>
    </row>
    <row r="247" spans="9:13" x14ac:dyDescent="0.25">
      <c r="I247" s="11"/>
      <c r="M247" s="11"/>
    </row>
    <row r="248" spans="9:13" x14ac:dyDescent="0.25">
      <c r="I248" s="11"/>
      <c r="M248" s="11"/>
    </row>
    <row r="249" spans="9:13" x14ac:dyDescent="0.25">
      <c r="I249" s="11"/>
    </row>
    <row r="250" spans="9:13" x14ac:dyDescent="0.25">
      <c r="I250" s="11"/>
    </row>
    <row r="251" spans="9:13" x14ac:dyDescent="0.25">
      <c r="I251" s="11"/>
    </row>
    <row r="252" spans="9:13" x14ac:dyDescent="0.25">
      <c r="I252" s="11"/>
    </row>
    <row r="253" spans="9:13" x14ac:dyDescent="0.25">
      <c r="I253" s="11"/>
    </row>
    <row r="254" spans="9:13" x14ac:dyDescent="0.25">
      <c r="I254" s="11"/>
    </row>
    <row r="255" spans="9:13" x14ac:dyDescent="0.25">
      <c r="I255" s="11"/>
    </row>
    <row r="256" spans="9:13" x14ac:dyDescent="0.25">
      <c r="I256" s="11"/>
    </row>
    <row r="257" spans="9:9" x14ac:dyDescent="0.25">
      <c r="I257" s="11"/>
    </row>
    <row r="258" spans="9:9" x14ac:dyDescent="0.25">
      <c r="I258" s="11"/>
    </row>
  </sheetData>
  <mergeCells count="4">
    <mergeCell ref="A5:H5"/>
    <mergeCell ref="A6:H6"/>
    <mergeCell ref="A7:H7"/>
    <mergeCell ref="A9:E9"/>
  </mergeCells>
  <pageMargins left="1.299212598425197" right="1.299212598425197" top="0.74803149606299213" bottom="0.74803149606299213" header="0.31496062992125984" footer="0.31496062992125984"/>
  <pageSetup paperSize="5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2026</vt:lpstr>
      <vt:lpstr>'FEBRERO 2026'!Área_de_impresión</vt:lpstr>
      <vt:lpstr>'FEBRERO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2026-03-17T19:13:26Z</cp:lastPrinted>
  <dcterms:created xsi:type="dcterms:W3CDTF">2015-06-05T18:19:34Z</dcterms:created>
  <dcterms:modified xsi:type="dcterms:W3CDTF">2026-03-17T19:13:49Z</dcterms:modified>
</cp:coreProperties>
</file>